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WS-4\AWS-4.2\AWS-4.20\EINÖD\Betrieb\Ablagerung von Abfällen\Annahme von Abfällen\Infounterlagen, Annahmegrenzwerte, Preisliste, Merkblätter, Regelwerke\"/>
    </mc:Choice>
  </mc:AlternateContent>
  <bookViews>
    <workbookView xWindow="0" yWindow="0" windowWidth="25200" windowHeight="11295"/>
  </bookViews>
  <sheets>
    <sheet name="Tab. Prüfung ZOW  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T61" i="1" s="1"/>
  <c r="D61" i="1"/>
  <c r="Y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T60" i="1" s="1"/>
  <c r="Y59" i="1"/>
  <c r="R59" i="1"/>
  <c r="Q59" i="1"/>
  <c r="P59" i="1"/>
  <c r="O59" i="1"/>
  <c r="N59" i="1"/>
  <c r="M59" i="1"/>
  <c r="L59" i="1"/>
  <c r="K59" i="1"/>
  <c r="J59" i="1"/>
  <c r="I59" i="1"/>
  <c r="H59" i="1"/>
  <c r="G59" i="1"/>
  <c r="T59" i="1" s="1"/>
  <c r="F59" i="1"/>
  <c r="E59" i="1"/>
  <c r="D59" i="1"/>
  <c r="Y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T57" i="1" s="1"/>
  <c r="Y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T56" i="1" s="1"/>
  <c r="D56" i="1"/>
  <c r="Y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T55" i="1" s="1"/>
  <c r="Y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Y53" i="1"/>
  <c r="R53" i="1"/>
  <c r="Q53" i="1"/>
  <c r="P53" i="1"/>
  <c r="O53" i="1"/>
  <c r="N53" i="1"/>
  <c r="M53" i="1"/>
  <c r="L53" i="1"/>
  <c r="K53" i="1"/>
  <c r="J53" i="1"/>
  <c r="I53" i="1"/>
  <c r="H53" i="1"/>
  <c r="G53" i="1"/>
  <c r="T53" i="1" s="1"/>
  <c r="F53" i="1"/>
  <c r="E53" i="1"/>
  <c r="D53" i="1"/>
  <c r="Y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T51" i="1" s="1"/>
  <c r="Y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Y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V46" i="1" s="1"/>
  <c r="E46" i="1"/>
  <c r="D46" i="1"/>
  <c r="Y45" i="1"/>
  <c r="R45" i="1"/>
  <c r="Q45" i="1"/>
  <c r="P45" i="1"/>
  <c r="O45" i="1"/>
  <c r="N45" i="1"/>
  <c r="M45" i="1"/>
  <c r="L45" i="1"/>
  <c r="K45" i="1"/>
  <c r="J45" i="1"/>
  <c r="I45" i="1"/>
  <c r="H45" i="1"/>
  <c r="G45" i="1"/>
  <c r="V45" i="1" s="1"/>
  <c r="F45" i="1"/>
  <c r="E45" i="1"/>
  <c r="D45" i="1"/>
  <c r="Y44" i="1"/>
  <c r="R44" i="1"/>
  <c r="Q44" i="1"/>
  <c r="P44" i="1"/>
  <c r="O44" i="1"/>
  <c r="N44" i="1"/>
  <c r="M44" i="1"/>
  <c r="L44" i="1"/>
  <c r="K44" i="1"/>
  <c r="J44" i="1"/>
  <c r="I44" i="1"/>
  <c r="H44" i="1"/>
  <c r="G44" i="1"/>
  <c r="V44" i="1" s="1"/>
  <c r="F44" i="1"/>
  <c r="E44" i="1"/>
  <c r="D44" i="1"/>
  <c r="Y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Y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T41" i="1" s="1"/>
  <c r="Y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S40" i="1" s="1"/>
  <c r="D40" i="1"/>
  <c r="Y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Y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Y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V37" i="1" s="1"/>
  <c r="D37" i="1"/>
  <c r="Y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U36" i="1" s="1"/>
  <c r="Y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Y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Y32" i="1"/>
  <c r="R32" i="1"/>
  <c r="Q32" i="1"/>
  <c r="P32" i="1"/>
  <c r="O32" i="1"/>
  <c r="N32" i="1"/>
  <c r="M32" i="1"/>
  <c r="L32" i="1"/>
  <c r="K32" i="1"/>
  <c r="J32" i="1"/>
  <c r="I32" i="1"/>
  <c r="H32" i="1"/>
  <c r="G32" i="1"/>
  <c r="V32" i="1" s="1"/>
  <c r="F32" i="1"/>
  <c r="E32" i="1"/>
  <c r="D32" i="1"/>
  <c r="Y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U31" i="1" s="1"/>
  <c r="Y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V30" i="1" s="1"/>
  <c r="D30" i="1"/>
  <c r="Y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Y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V28" i="1" s="1"/>
  <c r="Y27" i="1"/>
  <c r="R27" i="1"/>
  <c r="Q27" i="1"/>
  <c r="P27" i="1"/>
  <c r="O27" i="1"/>
  <c r="N27" i="1"/>
  <c r="M27" i="1"/>
  <c r="L27" i="1"/>
  <c r="K27" i="1"/>
  <c r="J27" i="1"/>
  <c r="I27" i="1"/>
  <c r="H27" i="1"/>
  <c r="G27" i="1"/>
  <c r="V27" i="1" s="1"/>
  <c r="F27" i="1"/>
  <c r="E27" i="1"/>
  <c r="D27" i="1"/>
  <c r="Y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V26" i="1" s="1"/>
  <c r="Y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V25" i="1"/>
  <c r="Y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T23" i="1" s="1"/>
  <c r="D23" i="1"/>
  <c r="Y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U21" i="1" s="1"/>
  <c r="D21" i="1"/>
  <c r="Y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20" i="1" s="1"/>
  <c r="D20" i="1"/>
  <c r="Y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S19" i="1" s="1"/>
  <c r="D19" i="1"/>
  <c r="Y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U18" i="1" s="1"/>
  <c r="Y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U17" i="1" s="1"/>
  <c r="D17" i="1"/>
  <c r="Y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U16" i="1" s="1"/>
  <c r="D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S15" i="1" s="1"/>
  <c r="Y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S14" i="1" s="1"/>
  <c r="Y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S13" i="1" s="1"/>
  <c r="Y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S12" i="1"/>
  <c r="Y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S11" i="1" s="1"/>
  <c r="Y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S10" i="1" s="1"/>
  <c r="Y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S8" i="1"/>
  <c r="Y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S7" i="1"/>
  <c r="V2" i="1"/>
  <c r="W20" i="1" l="1"/>
  <c r="W8" i="1"/>
  <c r="W11" i="1"/>
  <c r="W13" i="1"/>
  <c r="W15" i="1"/>
  <c r="W19" i="1"/>
  <c r="W7" i="1"/>
  <c r="W10" i="1"/>
  <c r="W12" i="1"/>
  <c r="W14" i="1"/>
  <c r="U27" i="1"/>
  <c r="V29" i="1"/>
  <c r="U32" i="1"/>
  <c r="S33" i="1"/>
  <c r="W33" i="1" s="1"/>
  <c r="X33" i="1" s="1"/>
  <c r="Z33" i="1" s="1"/>
  <c r="AA33" i="1" s="1"/>
  <c r="T45" i="1"/>
  <c r="T52" i="1"/>
  <c r="S49" i="1"/>
  <c r="W49" i="1" s="1"/>
  <c r="S21" i="1"/>
  <c r="W21" i="1" s="1"/>
  <c r="U28" i="1"/>
  <c r="T36" i="1"/>
  <c r="S37" i="1"/>
  <c r="W37" i="1" s="1"/>
  <c r="X37" i="1" s="1"/>
  <c r="Z37" i="1" s="1"/>
  <c r="AA37" i="1" s="1"/>
  <c r="U40" i="1"/>
  <c r="S41" i="1"/>
  <c r="U42" i="1"/>
  <c r="T16" i="1"/>
  <c r="T17" i="1"/>
  <c r="T18" i="1"/>
  <c r="T19" i="1"/>
  <c r="V20" i="1"/>
  <c r="X20" i="1" s="1"/>
  <c r="Z20" i="1" s="1"/>
  <c r="AA20" i="1" s="1"/>
  <c r="V31" i="1"/>
  <c r="V33" i="1"/>
  <c r="V35" i="1"/>
  <c r="S36" i="1"/>
  <c r="T40" i="1"/>
  <c r="V41" i="1"/>
  <c r="V42" i="1"/>
  <c r="S45" i="1"/>
  <c r="W45" i="1" s="1"/>
  <c r="X45" i="1" s="1"/>
  <c r="Z45" i="1" s="1"/>
  <c r="AA45" i="1" s="1"/>
  <c r="U46" i="1"/>
  <c r="T13" i="1"/>
  <c r="U19" i="1"/>
  <c r="U20" i="1"/>
  <c r="U39" i="1"/>
  <c r="S39" i="1"/>
  <c r="W39" i="1" s="1"/>
  <c r="U7" i="1"/>
  <c r="U8" i="1"/>
  <c r="U10" i="1"/>
  <c r="U11" i="1"/>
  <c r="U12" i="1"/>
  <c r="U13" i="1"/>
  <c r="U14" i="1"/>
  <c r="U15" i="1"/>
  <c r="V16" i="1"/>
  <c r="V17" i="1"/>
  <c r="V18" i="1"/>
  <c r="V19" i="1"/>
  <c r="V21" i="1"/>
  <c r="T21" i="1"/>
  <c r="S23" i="1"/>
  <c r="W23" i="1" s="1"/>
  <c r="V23" i="1"/>
  <c r="U23" i="1"/>
  <c r="U26" i="1"/>
  <c r="U30" i="1"/>
  <c r="V34" i="1"/>
  <c r="W36" i="1"/>
  <c r="W41" i="1"/>
  <c r="V43" i="1"/>
  <c r="S43" i="1"/>
  <c r="W43" i="1" s="1"/>
  <c r="T7" i="1"/>
  <c r="S22" i="1"/>
  <c r="W22" i="1" s="1"/>
  <c r="X22" i="1" s="1"/>
  <c r="V22" i="1"/>
  <c r="U22" i="1"/>
  <c r="V48" i="1"/>
  <c r="S48" i="1"/>
  <c r="W48" i="1" s="1"/>
  <c r="V7" i="1"/>
  <c r="X7" i="1" s="1"/>
  <c r="Z7" i="1" s="1"/>
  <c r="AA7" i="1" s="1"/>
  <c r="V8" i="1"/>
  <c r="V10" i="1"/>
  <c r="V11" i="1"/>
  <c r="X11" i="1" s="1"/>
  <c r="Z11" i="1" s="1"/>
  <c r="AA11" i="1" s="1"/>
  <c r="V12" i="1"/>
  <c r="V13" i="1"/>
  <c r="V14" i="1"/>
  <c r="V15" i="1"/>
  <c r="X15" i="1" s="1"/>
  <c r="Z15" i="1" s="1"/>
  <c r="AA15" i="1" s="1"/>
  <c r="S16" i="1"/>
  <c r="W16" i="1" s="1"/>
  <c r="X16" i="1" s="1"/>
  <c r="S17" i="1"/>
  <c r="W17" i="1" s="1"/>
  <c r="Z17" i="1" s="1"/>
  <c r="AA17" i="1" s="1"/>
  <c r="S18" i="1"/>
  <c r="W18" i="1" s="1"/>
  <c r="T25" i="1"/>
  <c r="S25" i="1"/>
  <c r="W25" i="1" s="1"/>
  <c r="X25" i="1" s="1"/>
  <c r="U29" i="1"/>
  <c r="U34" i="1"/>
  <c r="S34" i="1"/>
  <c r="W34" i="1" s="1"/>
  <c r="V38" i="1"/>
  <c r="V39" i="1"/>
  <c r="W40" i="1"/>
  <c r="S50" i="1"/>
  <c r="W50" i="1" s="1"/>
  <c r="V50" i="1"/>
  <c r="U50" i="1"/>
  <c r="T50" i="1"/>
  <c r="S54" i="1"/>
  <c r="W54" i="1" s="1"/>
  <c r="V54" i="1"/>
  <c r="U54" i="1"/>
  <c r="T54" i="1"/>
  <c r="T8" i="1"/>
  <c r="T10" i="1"/>
  <c r="T11" i="1"/>
  <c r="T12" i="1"/>
  <c r="T14" i="1"/>
  <c r="T15" i="1"/>
  <c r="T20" i="1"/>
  <c r="T22" i="1"/>
  <c r="U35" i="1"/>
  <c r="S35" i="1"/>
  <c r="W35" i="1" s="1"/>
  <c r="U38" i="1"/>
  <c r="S38" i="1"/>
  <c r="W38" i="1" s="1"/>
  <c r="S44" i="1"/>
  <c r="W44" i="1" s="1"/>
  <c r="S58" i="1"/>
  <c r="W58" i="1" s="1"/>
  <c r="V58" i="1"/>
  <c r="U58" i="1"/>
  <c r="T58" i="1"/>
  <c r="S26" i="1"/>
  <c r="W26" i="1" s="1"/>
  <c r="S27" i="1"/>
  <c r="W27" i="1" s="1"/>
  <c r="S28" i="1"/>
  <c r="W28" i="1" s="1"/>
  <c r="S29" i="1"/>
  <c r="W29" i="1" s="1"/>
  <c r="S30" i="1"/>
  <c r="W30" i="1" s="1"/>
  <c r="S31" i="1"/>
  <c r="W31" i="1" s="1"/>
  <c r="S32" i="1"/>
  <c r="W32" i="1" s="1"/>
  <c r="T33" i="1"/>
  <c r="U33" i="1"/>
  <c r="V36" i="1"/>
  <c r="T37" i="1"/>
  <c r="U37" i="1"/>
  <c r="V40" i="1"/>
  <c r="U41" i="1"/>
  <c r="T44" i="1"/>
  <c r="U45" i="1"/>
  <c r="S53" i="1"/>
  <c r="W53" i="1" s="1"/>
  <c r="V53" i="1"/>
  <c r="U53" i="1"/>
  <c r="S57" i="1"/>
  <c r="W57" i="1" s="1"/>
  <c r="V57" i="1"/>
  <c r="U57" i="1"/>
  <c r="S61" i="1"/>
  <c r="W61" i="1" s="1"/>
  <c r="V61" i="1"/>
  <c r="U61" i="1"/>
  <c r="T26" i="1"/>
  <c r="T27" i="1"/>
  <c r="T28" i="1"/>
  <c r="T29" i="1"/>
  <c r="T30" i="1"/>
  <c r="T31" i="1"/>
  <c r="T32" i="1"/>
  <c r="T34" i="1"/>
  <c r="T38" i="1"/>
  <c r="S42" i="1"/>
  <c r="W42" i="1" s="1"/>
  <c r="T43" i="1"/>
  <c r="U44" i="1"/>
  <c r="S46" i="1"/>
  <c r="W46" i="1" s="1"/>
  <c r="S52" i="1"/>
  <c r="W52" i="1" s="1"/>
  <c r="V52" i="1"/>
  <c r="U52" i="1"/>
  <c r="S56" i="1"/>
  <c r="W56" i="1" s="1"/>
  <c r="V56" i="1"/>
  <c r="U56" i="1"/>
  <c r="S60" i="1"/>
  <c r="W60" i="1" s="1"/>
  <c r="V60" i="1"/>
  <c r="U60" i="1"/>
  <c r="T35" i="1"/>
  <c r="T39" i="1"/>
  <c r="T42" i="1"/>
  <c r="U43" i="1"/>
  <c r="T46" i="1"/>
  <c r="V49" i="1"/>
  <c r="U49" i="1"/>
  <c r="T49" i="1"/>
  <c r="S51" i="1"/>
  <c r="W51" i="1" s="1"/>
  <c r="V51" i="1"/>
  <c r="U51" i="1"/>
  <c r="S55" i="1"/>
  <c r="W55" i="1" s="1"/>
  <c r="V55" i="1"/>
  <c r="U55" i="1"/>
  <c r="S59" i="1"/>
  <c r="W59" i="1" s="1"/>
  <c r="V59" i="1"/>
  <c r="U59" i="1"/>
  <c r="T48" i="1"/>
  <c r="U48" i="1"/>
  <c r="X13" i="1" l="1"/>
  <c r="Z13" i="1" s="1"/>
  <c r="AA13" i="1" s="1"/>
  <c r="X14" i="1"/>
  <c r="Z14" i="1" s="1"/>
  <c r="AA14" i="1" s="1"/>
  <c r="AB14" i="1" s="1"/>
  <c r="AC14" i="1" s="1"/>
  <c r="X8" i="1"/>
  <c r="Z8" i="1" s="1"/>
  <c r="AA8" i="1" s="1"/>
  <c r="X19" i="1"/>
  <c r="Z19" i="1" s="1"/>
  <c r="AA19" i="1" s="1"/>
  <c r="AB19" i="1" s="1"/>
  <c r="AC19" i="1" s="1"/>
  <c r="X49" i="1"/>
  <c r="Z49" i="1" s="1"/>
  <c r="AA49" i="1" s="1"/>
  <c r="X12" i="1"/>
  <c r="Z12" i="1" s="1"/>
  <c r="AA12" i="1" s="1"/>
  <c r="AB12" i="1" s="1"/>
  <c r="AC12" i="1" s="1"/>
  <c r="X10" i="1"/>
  <c r="Z10" i="1" s="1"/>
  <c r="AA10" i="1" s="1"/>
  <c r="AB10" i="1" s="1"/>
  <c r="AC10" i="1" s="1"/>
  <c r="Z25" i="1"/>
  <c r="AA25" i="1" s="1"/>
  <c r="AB25" i="1" s="1"/>
  <c r="AC25" i="1" s="1"/>
  <c r="X56" i="1"/>
  <c r="X50" i="1"/>
  <c r="Z50" i="1" s="1"/>
  <c r="AA50" i="1" s="1"/>
  <c r="X60" i="1"/>
  <c r="Z60" i="1" s="1"/>
  <c r="AA60" i="1" s="1"/>
  <c r="X18" i="1"/>
  <c r="Z18" i="1" s="1"/>
  <c r="AA18" i="1" s="1"/>
  <c r="X52" i="1"/>
  <c r="X23" i="1"/>
  <c r="Z23" i="1" s="1"/>
  <c r="AA23" i="1" s="1"/>
  <c r="X21" i="1"/>
  <c r="Z21" i="1" s="1"/>
  <c r="AA21" i="1" s="1"/>
  <c r="AB21" i="1" s="1"/>
  <c r="AC21" i="1" s="1"/>
  <c r="AB8" i="1"/>
  <c r="AC8" i="1" s="1"/>
  <c r="AB7" i="1"/>
  <c r="AC7" i="1" s="1"/>
  <c r="AB13" i="1"/>
  <c r="AC13" i="1" s="1"/>
  <c r="AB15" i="1"/>
  <c r="AC15" i="1" s="1"/>
  <c r="AB11" i="1"/>
  <c r="AC11" i="1" s="1"/>
  <c r="X28" i="1"/>
  <c r="Z28" i="1" s="1"/>
  <c r="AA28" i="1" s="1"/>
  <c r="X44" i="1"/>
  <c r="Z44" i="1" s="1"/>
  <c r="AA44" i="1" s="1"/>
  <c r="X34" i="1"/>
  <c r="Z34" i="1" s="1"/>
  <c r="AA34" i="1" s="1"/>
  <c r="X41" i="1"/>
  <c r="Z41" i="1" s="1"/>
  <c r="AA41" i="1" s="1"/>
  <c r="X27" i="1"/>
  <c r="Z27" i="1" s="1"/>
  <c r="AA27" i="1" s="1"/>
  <c r="X40" i="1"/>
  <c r="Z40" i="1" s="1"/>
  <c r="AA40" i="1" s="1"/>
  <c r="X36" i="1"/>
  <c r="Z36" i="1" s="1"/>
  <c r="AA36" i="1" s="1"/>
  <c r="AB45" i="1"/>
  <c r="AC45" i="1" s="1"/>
  <c r="AB37" i="1"/>
  <c r="AC37" i="1" s="1"/>
  <c r="AB20" i="1"/>
  <c r="AC20" i="1" s="1"/>
  <c r="AB33" i="1"/>
  <c r="AC33" i="1" s="1"/>
  <c r="X42" i="1"/>
  <c r="Z42" i="1" s="1"/>
  <c r="AA42" i="1" s="1"/>
  <c r="X31" i="1"/>
  <c r="Z31" i="1" s="1"/>
  <c r="AA31" i="1" s="1"/>
  <c r="X38" i="1"/>
  <c r="Z38" i="1" s="1"/>
  <c r="AA38" i="1" s="1"/>
  <c r="X46" i="1"/>
  <c r="Z46" i="1" s="1"/>
  <c r="AA46" i="1" s="1"/>
  <c r="X61" i="1"/>
  <c r="Z61" i="1" s="1"/>
  <c r="AA61" i="1" s="1"/>
  <c r="X57" i="1"/>
  <c r="Z57" i="1" s="1"/>
  <c r="AA57" i="1" s="1"/>
  <c r="X53" i="1"/>
  <c r="Z53" i="1" s="1"/>
  <c r="AA53" i="1" s="1"/>
  <c r="X30" i="1"/>
  <c r="Z30" i="1" s="1"/>
  <c r="AA30" i="1" s="1"/>
  <c r="X26" i="1"/>
  <c r="Z26" i="1" s="1"/>
  <c r="AA26" i="1" s="1"/>
  <c r="X17" i="1"/>
  <c r="AB17" i="1" s="1"/>
  <c r="X43" i="1"/>
  <c r="Z43" i="1" s="1"/>
  <c r="AA43" i="1" s="1"/>
  <c r="Z16" i="1"/>
  <c r="AA16" i="1" s="1"/>
  <c r="X32" i="1"/>
  <c r="Z32" i="1" s="1"/>
  <c r="AA32" i="1" s="1"/>
  <c r="X59" i="1"/>
  <c r="Z59" i="1" s="1"/>
  <c r="AA59" i="1" s="1"/>
  <c r="X55" i="1"/>
  <c r="Z55" i="1" s="1"/>
  <c r="AA55" i="1" s="1"/>
  <c r="X51" i="1"/>
  <c r="Z51" i="1" s="1"/>
  <c r="AA51" i="1" s="1"/>
  <c r="Z56" i="1"/>
  <c r="AA56" i="1" s="1"/>
  <c r="Z52" i="1"/>
  <c r="AA52" i="1" s="1"/>
  <c r="X29" i="1"/>
  <c r="Z29" i="1" s="1"/>
  <c r="AA29" i="1" s="1"/>
  <c r="X58" i="1"/>
  <c r="Z58" i="1" s="1"/>
  <c r="AA58" i="1" s="1"/>
  <c r="X35" i="1"/>
  <c r="Z35" i="1" s="1"/>
  <c r="AA35" i="1" s="1"/>
  <c r="X54" i="1"/>
  <c r="Z54" i="1" s="1"/>
  <c r="AA54" i="1" s="1"/>
  <c r="X48" i="1"/>
  <c r="Z48" i="1" s="1"/>
  <c r="AA48" i="1" s="1"/>
  <c r="AB49" i="1" s="1"/>
  <c r="Z22" i="1"/>
  <c r="AA22" i="1" s="1"/>
  <c r="X39" i="1"/>
  <c r="Z39" i="1" s="1"/>
  <c r="AA39" i="1" s="1"/>
  <c r="AD7" i="1" l="1"/>
  <c r="AE7" i="1" s="1"/>
  <c r="AD11" i="1"/>
  <c r="AE11" i="1" s="1"/>
  <c r="AD20" i="1"/>
  <c r="AE20" i="1" s="1"/>
  <c r="AD21" i="1"/>
  <c r="AE21" i="1" s="1"/>
  <c r="AB55" i="1"/>
  <c r="AC55" i="1" s="1"/>
  <c r="AB36" i="1"/>
  <c r="AC36" i="1" s="1"/>
  <c r="AB41" i="1"/>
  <c r="AC41" i="1" s="1"/>
  <c r="AC49" i="1"/>
  <c r="AD49" i="1"/>
  <c r="AE49" i="1" s="1"/>
  <c r="AB59" i="1"/>
  <c r="AC59" i="1" s="1"/>
  <c r="AB31" i="1"/>
  <c r="AC31" i="1" s="1"/>
  <c r="AB40" i="1"/>
  <c r="AC40" i="1" s="1"/>
  <c r="AB34" i="1"/>
  <c r="AC34" i="1" s="1"/>
  <c r="AB38" i="1"/>
  <c r="AC38" i="1" s="1"/>
  <c r="AB39" i="1"/>
  <c r="AC39" i="1" s="1"/>
  <c r="AB58" i="1"/>
  <c r="AC58" i="1" s="1"/>
  <c r="AB43" i="1"/>
  <c r="AC43" i="1" s="1"/>
  <c r="AB42" i="1"/>
  <c r="AC42" i="1" s="1"/>
  <c r="AB44" i="1"/>
  <c r="AC44" i="1" s="1"/>
  <c r="AB54" i="1"/>
  <c r="AC54" i="1" s="1"/>
  <c r="AB29" i="1"/>
  <c r="AC29" i="1" s="1"/>
  <c r="AB51" i="1"/>
  <c r="AC51" i="1" s="1"/>
  <c r="AB32" i="1"/>
  <c r="AC32" i="1" s="1"/>
  <c r="AC17" i="1"/>
  <c r="AD17" i="1"/>
  <c r="AE17" i="1" s="1"/>
  <c r="AB46" i="1"/>
  <c r="AC46" i="1" s="1"/>
  <c r="AB27" i="1"/>
  <c r="AC27" i="1" s="1"/>
  <c r="AB28" i="1"/>
  <c r="AC28" i="1" s="1"/>
  <c r="AB30" i="1"/>
  <c r="AC30" i="1" s="1"/>
  <c r="AB23" i="1"/>
  <c r="AC23" i="1" s="1"/>
  <c r="AB60" i="1"/>
  <c r="AC60" i="1" s="1"/>
  <c r="AD19" i="1"/>
  <c r="AE19" i="1" s="1"/>
  <c r="AB16" i="1"/>
  <c r="AC16" i="1" s="1"/>
  <c r="AD33" i="1"/>
  <c r="AE33" i="1" s="1"/>
  <c r="AD37" i="1"/>
  <c r="AE37" i="1" s="1"/>
  <c r="AD25" i="1"/>
  <c r="AE25" i="1" s="1"/>
  <c r="AD13" i="1"/>
  <c r="AE13" i="1" s="1"/>
  <c r="AD8" i="1"/>
  <c r="AE8" i="1" s="1"/>
  <c r="AB50" i="1"/>
  <c r="AC50" i="1" s="1"/>
  <c r="AB22" i="1"/>
  <c r="AC22" i="1" s="1"/>
  <c r="AB26" i="1"/>
  <c r="AC26" i="1" s="1"/>
  <c r="AB53" i="1"/>
  <c r="AC53" i="1" s="1"/>
  <c r="AB56" i="1"/>
  <c r="AC56" i="1" s="1"/>
  <c r="AB61" i="1"/>
  <c r="AC61" i="1" s="1"/>
  <c r="AB35" i="1"/>
  <c r="AC35" i="1" s="1"/>
  <c r="AB18" i="1"/>
  <c r="AC18" i="1" s="1"/>
  <c r="AB48" i="1"/>
  <c r="AC48" i="1" s="1"/>
  <c r="AB52" i="1"/>
  <c r="AC52" i="1" s="1"/>
  <c r="AB57" i="1"/>
  <c r="AC57" i="1" s="1"/>
  <c r="AD45" i="1"/>
  <c r="AE45" i="1" s="1"/>
  <c r="AD15" i="1"/>
  <c r="AE15" i="1" s="1"/>
  <c r="AD10" i="1"/>
  <c r="AE10" i="1" s="1"/>
  <c r="AD12" i="1"/>
  <c r="AE12" i="1" s="1"/>
  <c r="AD14" i="1"/>
  <c r="AE14" i="1" s="1"/>
  <c r="AD26" i="1" l="1"/>
  <c r="AE26" i="1" s="1"/>
  <c r="AD28" i="1"/>
  <c r="AE28" i="1" s="1"/>
  <c r="AD51" i="1"/>
  <c r="AE51" i="1" s="1"/>
  <c r="AD31" i="1"/>
  <c r="AE31" i="1" s="1"/>
  <c r="AD52" i="1"/>
  <c r="AE52" i="1" s="1"/>
  <c r="AD61" i="1"/>
  <c r="AE61" i="1" s="1"/>
  <c r="AD54" i="1"/>
  <c r="AE54" i="1" s="1"/>
  <c r="AD59" i="1"/>
  <c r="AE59" i="1" s="1"/>
  <c r="AD35" i="1"/>
  <c r="AE35" i="1" s="1"/>
  <c r="AD60" i="1"/>
  <c r="AE60" i="1" s="1"/>
  <c r="AD58" i="1"/>
  <c r="AE58" i="1" s="1"/>
  <c r="AD34" i="1"/>
  <c r="AE34" i="1" s="1"/>
  <c r="AD43" i="1"/>
  <c r="AE43" i="1" s="1"/>
  <c r="AD39" i="1"/>
  <c r="AE39" i="1" s="1"/>
  <c r="AD53" i="1"/>
  <c r="AE53" i="1" s="1"/>
  <c r="AD22" i="1"/>
  <c r="AE22" i="1" s="1"/>
  <c r="AD46" i="1"/>
  <c r="AE46" i="1" s="1"/>
  <c r="AD32" i="1"/>
  <c r="AE32" i="1" s="1"/>
  <c r="AD29" i="1"/>
  <c r="AE29" i="1" s="1"/>
  <c r="AD44" i="1"/>
  <c r="AE44" i="1" s="1"/>
  <c r="AD36" i="1"/>
  <c r="AE36" i="1" s="1"/>
  <c r="AD57" i="1"/>
  <c r="AE57" i="1" s="1"/>
  <c r="AD48" i="1"/>
  <c r="AE48" i="1" s="1"/>
  <c r="AD56" i="1"/>
  <c r="AE56" i="1" s="1"/>
  <c r="AD50" i="1"/>
  <c r="AE50" i="1" s="1"/>
  <c r="AD23" i="1"/>
  <c r="AE23" i="1" s="1"/>
  <c r="AD18" i="1"/>
  <c r="AE18" i="1" s="1"/>
  <c r="AD30" i="1"/>
  <c r="AE30" i="1" s="1"/>
  <c r="AD27" i="1"/>
  <c r="AE27" i="1" s="1"/>
  <c r="AD42" i="1"/>
  <c r="AE42" i="1" s="1"/>
  <c r="AD38" i="1"/>
  <c r="AE38" i="1" s="1"/>
  <c r="AD40" i="1"/>
  <c r="AE40" i="1" s="1"/>
  <c r="AD41" i="1"/>
  <c r="AE41" i="1" s="1"/>
  <c r="AD16" i="1"/>
  <c r="AE16" i="1" s="1"/>
  <c r="AD55" i="1"/>
  <c r="AE55" i="1" s="1"/>
</calcChain>
</file>

<file path=xl/sharedStrings.xml><?xml version="1.0" encoding="utf-8"?>
<sst xmlns="http://schemas.openxmlformats.org/spreadsheetml/2006/main" count="214" uniqueCount="164">
  <si>
    <t>AVV-Schlüssel des Abfalls:</t>
  </si>
  <si>
    <t xml:space="preserve">Zur Charakterisierung beprobte/untersuchte Abfallmenge in [m³]: </t>
  </si>
  <si>
    <t xml:space="preserve">Betriebsinterne Bezeichnung des Abfalls: </t>
  </si>
  <si>
    <t>Handelt es sich um Bodenmaterial (ohne Fremdbestandteile), das nur natürlich organogene Bestandteile enthält?</t>
  </si>
  <si>
    <t>Ja</t>
  </si>
  <si>
    <t>Laborprobenanzahl nach LAGA PN 98:</t>
  </si>
  <si>
    <t>FALL A</t>
  </si>
  <si>
    <t>FALL B1</t>
  </si>
  <si>
    <t>FALL B2</t>
  </si>
  <si>
    <t>Gewählte Deponieklasse [DK] oder Verwertungskategorie:</t>
  </si>
  <si>
    <t>Ergebnisse der Laboruntersuchungen</t>
  </si>
  <si>
    <t>Statistik</t>
  </si>
  <si>
    <t>Reduzierte
Probenanzahl?</t>
  </si>
  <si>
    <t>Reduzierung
zulässig?</t>
  </si>
  <si>
    <t>Zuordnungs-wert nach Deponie-/ Verwertungsklasse</t>
  </si>
  <si>
    <r>
      <t>Beurteilungsrele- vanter Wert zur Ablagerung
(</t>
    </r>
    <r>
      <rPr>
        <b/>
        <sz val="10"/>
        <rFont val="Arial"/>
        <family val="2"/>
      </rPr>
      <t>BWzA)</t>
    </r>
  </si>
  <si>
    <r>
      <t>Zuordnungswert durch alle Werte (</t>
    </r>
    <r>
      <rPr>
        <b/>
        <sz val="8.5"/>
        <rFont val="Arial"/>
        <family val="2"/>
      </rPr>
      <t>BWzA</t>
    </r>
    <r>
      <rPr>
        <sz val="8.5"/>
        <rFont val="Arial"/>
        <family val="2"/>
      </rPr>
      <t>) eingehalten?</t>
    </r>
  </si>
  <si>
    <t>(für die Fälle, bei denen FALL A nicht zutrifft)</t>
  </si>
  <si>
    <t>[Probenbezeichnung]</t>
  </si>
  <si>
    <t>MP
1</t>
  </si>
  <si>
    <t>MP
2</t>
  </si>
  <si>
    <t>MP
3</t>
  </si>
  <si>
    <t>MP
4</t>
  </si>
  <si>
    <t>MP
5</t>
  </si>
  <si>
    <t>MP
6</t>
  </si>
  <si>
    <t>MP
7</t>
  </si>
  <si>
    <t>MP
8</t>
  </si>
  <si>
    <t>MP
9</t>
  </si>
  <si>
    <t>MP
10</t>
  </si>
  <si>
    <t>MP
11</t>
  </si>
  <si>
    <t>MP
12</t>
  </si>
  <si>
    <t>MP
13</t>
  </si>
  <si>
    <t>MP
14</t>
  </si>
  <si>
    <t>MP
15</t>
  </si>
  <si>
    <t>Unter-suchungs-proben-anzahl</t>
  </si>
  <si>
    <t>Mittel-
wert</t>
  </si>
  <si>
    <t>Standard-abwei-chung</t>
  </si>
  <si>
    <t>Prüfung
Homo-
genität</t>
  </si>
  <si>
    <r>
      <t xml:space="preserve">Bedingung B1) 
</t>
    </r>
    <r>
      <rPr>
        <b/>
        <i/>
        <sz val="8.5"/>
        <rFont val="Arial"/>
        <family val="2"/>
      </rPr>
      <t>"4 von 5 Regel"</t>
    </r>
    <r>
      <rPr>
        <b/>
        <sz val="8.5"/>
        <rFont val="Arial"/>
        <family val="2"/>
      </rPr>
      <t xml:space="preserve"> eingehalten</t>
    </r>
  </si>
  <si>
    <t>Beurteilungs-wert (höchster nach 4 von 5 Regel)</t>
  </si>
  <si>
    <r>
      <t xml:space="preserve">Bedingung B2) </t>
    </r>
    <r>
      <rPr>
        <b/>
        <i/>
        <sz val="8.5"/>
        <rFont val="Arial"/>
        <family val="2"/>
      </rPr>
      <t>"erweiterter MW"</t>
    </r>
    <r>
      <rPr>
        <b/>
        <sz val="8.5"/>
        <rFont val="Arial"/>
        <family val="2"/>
      </rPr>
      <t xml:space="preserve"> eingehalten</t>
    </r>
  </si>
  <si>
    <t>Beurteilungswert (M+1,65*Slp/Wurzel(n))</t>
  </si>
  <si>
    <t>Nr.</t>
  </si>
  <si>
    <t>Parameter</t>
  </si>
  <si>
    <t>Einheit</t>
  </si>
  <si>
    <t>organ. Anteil (TS d. OS)</t>
  </si>
  <si>
    <t>ZW</t>
  </si>
  <si>
    <t>1.1</t>
  </si>
  <si>
    <t>Glühverlust</t>
  </si>
  <si>
    <t>Masse-%</t>
  </si>
  <si>
    <t>1.2</t>
  </si>
  <si>
    <t>TOC</t>
  </si>
  <si>
    <t>Feststoffkriterien</t>
  </si>
  <si>
    <t>2.1</t>
  </si>
  <si>
    <t>∑ BTEX</t>
  </si>
  <si>
    <t>mg/kg</t>
  </si>
  <si>
    <t>2.2</t>
  </si>
  <si>
    <r>
      <t>PCB</t>
    </r>
    <r>
      <rPr>
        <vertAlign val="subscript"/>
        <sz val="9"/>
        <rFont val="Arial"/>
        <family val="2"/>
      </rPr>
      <t>7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(∑ 7 PCB-Kongenere)</t>
    </r>
  </si>
  <si>
    <t>2.3</t>
  </si>
  <si>
    <t>MKW (C10 - C40)</t>
  </si>
  <si>
    <t>2.4</t>
  </si>
  <si>
    <t>∑ PAK n. EPA</t>
  </si>
  <si>
    <t>2.5</t>
  </si>
  <si>
    <t>Benzo(a)pyren</t>
  </si>
  <si>
    <t>2.6</t>
  </si>
  <si>
    <t>Säureneutralisations-
kapazität (*)</t>
  </si>
  <si>
    <t>mmol/
kg</t>
  </si>
  <si>
    <t>(*)</t>
  </si>
  <si>
    <t>2.7</t>
  </si>
  <si>
    <t>extrahierbare lipophile Stoffe</t>
  </si>
  <si>
    <t>2.8</t>
  </si>
  <si>
    <t>Blei</t>
  </si>
  <si>
    <t>2.9</t>
  </si>
  <si>
    <t>Cadmium</t>
  </si>
  <si>
    <t>2.10</t>
  </si>
  <si>
    <t>Chrom</t>
  </si>
  <si>
    <t>2.11</t>
  </si>
  <si>
    <t>Kupfer</t>
  </si>
  <si>
    <t>2.12</t>
  </si>
  <si>
    <t>Nickel</t>
  </si>
  <si>
    <t>2.13</t>
  </si>
  <si>
    <t>Quecksilber</t>
  </si>
  <si>
    <t>2.14</t>
  </si>
  <si>
    <t>Zink</t>
  </si>
  <si>
    <t>Eluatkriterien</t>
  </si>
  <si>
    <t>3.1</t>
  </si>
  <si>
    <t>pH-Wert</t>
  </si>
  <si>
    <t>[ - ]</t>
  </si>
  <si>
    <t>-</t>
  </si>
  <si>
    <t>3.2</t>
  </si>
  <si>
    <t>DOC</t>
  </si>
  <si>
    <t>mg/l</t>
  </si>
  <si>
    <t>3.3</t>
  </si>
  <si>
    <t>Phenole</t>
  </si>
  <si>
    <t>3.4</t>
  </si>
  <si>
    <t>Arsen</t>
  </si>
  <si>
    <t>3.5</t>
  </si>
  <si>
    <t>3.6</t>
  </si>
  <si>
    <t>3.7</t>
  </si>
  <si>
    <t>3.8</t>
  </si>
  <si>
    <t>3.9</t>
  </si>
  <si>
    <t>3.10</t>
  </si>
  <si>
    <t>3.11</t>
  </si>
  <si>
    <t>Chlorid</t>
  </si>
  <si>
    <t>3.12</t>
  </si>
  <si>
    <t>Sulfat</t>
  </si>
  <si>
    <t>3.13</t>
  </si>
  <si>
    <r>
      <t xml:space="preserve">Cyanid, </t>
    </r>
    <r>
      <rPr>
        <sz val="8"/>
        <rFont val="Arial"/>
        <family val="2"/>
      </rPr>
      <t>leicht freisetzbar</t>
    </r>
  </si>
  <si>
    <t>3.14</t>
  </si>
  <si>
    <t>Fluorid</t>
  </si>
  <si>
    <t>3.15</t>
  </si>
  <si>
    <t>Barium</t>
  </si>
  <si>
    <t>3.16</t>
  </si>
  <si>
    <t>Chrom, gesamt</t>
  </si>
  <si>
    <t>3.17</t>
  </si>
  <si>
    <t>Molybdän</t>
  </si>
  <si>
    <t>3.18a</t>
  </si>
  <si>
    <t>Antimon</t>
  </si>
  <si>
    <t>3.18b</t>
  </si>
  <si>
    <r>
      <t>Antimon - C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-Wert</t>
    </r>
  </si>
  <si>
    <t>3.19</t>
  </si>
  <si>
    <t>Selen</t>
  </si>
  <si>
    <t>3.20</t>
  </si>
  <si>
    <t>Gesamtgehalt an gelösten Feststoffen</t>
  </si>
  <si>
    <t>3.21</t>
  </si>
  <si>
    <t>elektrische Leitfähigkeit</t>
  </si>
  <si>
    <t>μS/cm</t>
  </si>
  <si>
    <t>sonstige Parameter</t>
  </si>
  <si>
    <t>4.1</t>
  </si>
  <si>
    <r>
      <t>Brennwert (H</t>
    </r>
    <r>
      <rPr>
        <vertAlign val="subscript"/>
        <sz val="9"/>
        <rFont val="Arial"/>
        <family val="2"/>
      </rPr>
      <t>o</t>
    </r>
    <r>
      <rPr>
        <sz val="9"/>
        <rFont val="Arial"/>
        <family val="2"/>
      </rPr>
      <t>)</t>
    </r>
  </si>
  <si>
    <t>kJ/ kg</t>
  </si>
  <si>
    <t>4.2</t>
  </si>
  <si>
    <t>Atmungsaktivität AT4</t>
  </si>
  <si>
    <r>
      <t>mg O</t>
    </r>
    <r>
      <rPr>
        <vertAlign val="subscript"/>
        <sz val="6"/>
        <rFont val="Arial"/>
        <family val="2"/>
      </rPr>
      <t>2</t>
    </r>
    <r>
      <rPr>
        <sz val="6"/>
        <rFont val="Arial"/>
        <family val="2"/>
      </rPr>
      <t>/ g</t>
    </r>
  </si>
  <si>
    <t>4.3</t>
  </si>
  <si>
    <t>LHKW</t>
  </si>
  <si>
    <t>4.4</t>
  </si>
  <si>
    <t>PCDD/F</t>
  </si>
  <si>
    <t>ng/ kg</t>
  </si>
  <si>
    <t>4.5</t>
  </si>
  <si>
    <t>PFOS (**)</t>
  </si>
  <si>
    <t>mg/ kg</t>
  </si>
  <si>
    <t>4.6</t>
  </si>
  <si>
    <t>Glyphosat + AMPA</t>
  </si>
  <si>
    <t>μg/l</t>
  </si>
  <si>
    <t>4.7</t>
  </si>
  <si>
    <t>Einzelsubstanz Herbizide</t>
  </si>
  <si>
    <t>4.8</t>
  </si>
  <si>
    <r>
      <t xml:space="preserve">Σ Herbizide </t>
    </r>
    <r>
      <rPr>
        <sz val="8"/>
        <rFont val="Arial"/>
        <family val="2"/>
      </rPr>
      <t>(ohne Glyphosat und AMPA)</t>
    </r>
  </si>
  <si>
    <t>4.9</t>
  </si>
  <si>
    <t>4.10</t>
  </si>
  <si>
    <t>Thallium</t>
  </si>
  <si>
    <t>4.11</t>
  </si>
  <si>
    <t>Cyanide, gesamt</t>
  </si>
  <si>
    <t>4.12</t>
  </si>
  <si>
    <t>EOX</t>
  </si>
  <si>
    <t>4.13</t>
  </si>
  <si>
    <r>
      <t>PCB</t>
    </r>
    <r>
      <rPr>
        <vertAlign val="subscript"/>
        <sz val="9"/>
        <rFont val="Arial"/>
        <family val="2"/>
      </rPr>
      <t>6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(∑6 PCB-Kongenere)</t>
    </r>
  </si>
  <si>
    <t>4.14</t>
  </si>
  <si>
    <t xml:space="preserve">Ist bei gefährlichen Abfällen zu ermtteln </t>
  </si>
  <si>
    <t>(**)</t>
  </si>
  <si>
    <t>Feststoffwerte für PFOS ausschließlich nach "Handlungshilfe organsiche Schadstoffe" auf Deponien (UM BW, 2012) hinerlegt (ohne Berücksichtigung von Eluatkriterien!)</t>
  </si>
  <si>
    <t>verantwortliche Erklärung zur Auswertung/ Datum, Unterschrift</t>
  </si>
  <si>
    <t>DK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</si>
</sst>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0.00000"/>
  </numFmts>
  <fonts count="28" x14ac:knownFonts="1">
    <font>
      <sz val="10"/>
      <name val="Arial"/>
    </font>
    <font>
      <b/>
      <u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.800000000000000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i/>
      <sz val="8.5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/>
      <sz val="6"/>
      <name val="Arial"/>
      <family val="2"/>
    </font>
    <font>
      <i/>
      <sz val="9"/>
      <color theme="0" tint="-0.34998626667073579"/>
      <name val="Arial"/>
      <family val="2"/>
    </font>
    <font>
      <vertAlign val="subscript"/>
      <sz val="9"/>
      <name val="Arial"/>
      <family val="2"/>
    </font>
    <font>
      <vertAlign val="subscript"/>
      <sz val="6"/>
      <name val="Arial"/>
      <family val="2"/>
    </font>
    <font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/>
    </xf>
    <xf numFmtId="3" fontId="2" fillId="3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5" borderId="5" xfId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9" fillId="6" borderId="0" xfId="0" applyFont="1" applyFill="1" applyAlignment="1" applyProtection="1">
      <alignment horizontal="center"/>
    </xf>
    <xf numFmtId="0" fontId="8" fillId="10" borderId="6" xfId="0" applyFont="1" applyFill="1" applyBorder="1" applyAlignment="1">
      <alignment horizontal="center" wrapText="1" shrinkToFit="1"/>
    </xf>
    <xf numFmtId="0" fontId="11" fillId="0" borderId="7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/>
    <xf numFmtId="0" fontId="10" fillId="0" borderId="11" xfId="0" applyFont="1" applyBorder="1"/>
    <xf numFmtId="0" fontId="10" fillId="0" borderId="0" xfId="0" applyFont="1" applyBorder="1"/>
    <xf numFmtId="0" fontId="3" fillId="0" borderId="0" xfId="0" applyFont="1" applyFill="1"/>
    <xf numFmtId="0" fontId="18" fillId="0" borderId="13" xfId="0" applyFont="1" applyBorder="1" applyAlignment="1">
      <alignment horizontal="left"/>
    </xf>
    <xf numFmtId="0" fontId="19" fillId="0" borderId="14" xfId="0" applyFont="1" applyBorder="1" applyAlignment="1">
      <alignment wrapText="1" shrinkToFit="1"/>
    </xf>
    <xf numFmtId="0" fontId="11" fillId="0" borderId="19" xfId="0" applyFont="1" applyBorder="1" applyAlignment="1">
      <alignment horizontal="center" wrapText="1" shrinkToFit="1"/>
    </xf>
    <xf numFmtId="16" fontId="0" fillId="0" borderId="26" xfId="0" quotePrefix="1" applyNumberFormat="1" applyBorder="1" applyAlignment="1">
      <alignment horizontal="left"/>
    </xf>
    <xf numFmtId="0" fontId="12" fillId="0" borderId="27" xfId="0" applyFont="1" applyBorder="1" applyAlignment="1">
      <alignment shrinkToFit="1"/>
    </xf>
    <xf numFmtId="0" fontId="20" fillId="0" borderId="28" xfId="0" applyFont="1" applyBorder="1" applyAlignment="1">
      <alignment horizontal="center" shrinkToFit="1"/>
    </xf>
    <xf numFmtId="164" fontId="12" fillId="11" borderId="26" xfId="0" applyNumberFormat="1" applyFont="1" applyFill="1" applyBorder="1" applyAlignment="1">
      <alignment horizontal="center"/>
    </xf>
    <xf numFmtId="164" fontId="12" fillId="11" borderId="29" xfId="0" applyNumberFormat="1" applyFont="1" applyFill="1" applyBorder="1" applyAlignment="1">
      <alignment horizontal="center"/>
    </xf>
    <xf numFmtId="164" fontId="12" fillId="11" borderId="28" xfId="0" applyNumberFormat="1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2" fontId="22" fillId="0" borderId="30" xfId="0" applyNumberFormat="1" applyFont="1" applyFill="1" applyBorder="1" applyAlignment="1">
      <alignment horizontal="center"/>
    </xf>
    <xf numFmtId="165" fontId="22" fillId="0" borderId="29" xfId="0" applyNumberFormat="1" applyFont="1" applyFill="1" applyBorder="1" applyAlignment="1">
      <alignment horizontal="center"/>
    </xf>
    <xf numFmtId="2" fontId="5" fillId="12" borderId="31" xfId="0" applyNumberFormat="1" applyFont="1" applyFill="1" applyBorder="1" applyAlignment="1">
      <alignment horizontal="center"/>
    </xf>
    <xf numFmtId="0" fontId="11" fillId="13" borderId="29" xfId="0" applyFont="1" applyFill="1" applyBorder="1" applyAlignment="1">
      <alignment horizontal="center"/>
    </xf>
    <xf numFmtId="1" fontId="12" fillId="14" borderId="28" xfId="0" applyNumberFormat="1" applyFont="1" applyFill="1" applyBorder="1" applyAlignment="1">
      <alignment horizontal="center"/>
    </xf>
    <xf numFmtId="1" fontId="11" fillId="7" borderId="32" xfId="0" applyNumberFormat="1" applyFont="1" applyFill="1" applyBorder="1" applyAlignment="1">
      <alignment horizontal="center"/>
    </xf>
    <xf numFmtId="1" fontId="11" fillId="8" borderId="30" xfId="0" applyNumberFormat="1" applyFont="1" applyFill="1" applyBorder="1" applyAlignment="1">
      <alignment horizontal="center"/>
    </xf>
    <xf numFmtId="1" fontId="11" fillId="8" borderId="29" xfId="0" applyNumberFormat="1" applyFont="1" applyFill="1" applyBorder="1" applyAlignment="1">
      <alignment horizontal="center"/>
    </xf>
    <xf numFmtId="1" fontId="0" fillId="8" borderId="29" xfId="0" applyNumberFormat="1" applyFill="1" applyBorder="1" applyAlignment="1">
      <alignment horizontal="center"/>
    </xf>
    <xf numFmtId="16" fontId="0" fillId="0" borderId="33" xfId="0" quotePrefix="1" applyNumberFormat="1" applyBorder="1" applyAlignment="1">
      <alignment horizontal="left"/>
    </xf>
    <xf numFmtId="0" fontId="12" fillId="0" borderId="34" xfId="0" applyFont="1" applyBorder="1" applyAlignment="1">
      <alignment shrinkToFit="1"/>
    </xf>
    <xf numFmtId="0" fontId="20" fillId="0" borderId="35" xfId="0" applyFont="1" applyBorder="1" applyAlignment="1">
      <alignment horizontal="center" shrinkToFit="1"/>
    </xf>
    <xf numFmtId="2" fontId="12" fillId="11" borderId="33" xfId="0" applyNumberFormat="1" applyFont="1" applyFill="1" applyBorder="1" applyAlignment="1">
      <alignment horizontal="center"/>
    </xf>
    <xf numFmtId="2" fontId="12" fillId="11" borderId="36" xfId="0" applyNumberFormat="1" applyFont="1" applyFill="1" applyBorder="1" applyAlignment="1">
      <alignment horizontal="center"/>
    </xf>
    <xf numFmtId="2" fontId="12" fillId="11" borderId="35" xfId="0" applyNumberFormat="1" applyFont="1" applyFill="1" applyBorder="1" applyAlignment="1">
      <alignment horizontal="center"/>
    </xf>
    <xf numFmtId="1" fontId="21" fillId="0" borderId="37" xfId="0" applyNumberFormat="1" applyFont="1" applyFill="1" applyBorder="1" applyAlignment="1">
      <alignment horizontal="center"/>
    </xf>
    <xf numFmtId="2" fontId="22" fillId="0" borderId="37" xfId="0" applyNumberFormat="1" applyFont="1" applyFill="1" applyBorder="1" applyAlignment="1">
      <alignment horizontal="center"/>
    </xf>
    <xf numFmtId="165" fontId="22" fillId="0" borderId="36" xfId="0" applyNumberFormat="1" applyFont="1" applyFill="1" applyBorder="1" applyAlignment="1">
      <alignment horizontal="center"/>
    </xf>
    <xf numFmtId="2" fontId="5" fillId="12" borderId="38" xfId="0" applyNumberFormat="1" applyFont="1" applyFill="1" applyBorder="1" applyAlignment="1">
      <alignment horizontal="center"/>
    </xf>
    <xf numFmtId="0" fontId="11" fillId="13" borderId="36" xfId="0" applyFont="1" applyFill="1" applyBorder="1" applyAlignment="1">
      <alignment horizontal="center"/>
    </xf>
    <xf numFmtId="0" fontId="12" fillId="14" borderId="35" xfId="0" applyFont="1" applyFill="1" applyBorder="1" applyAlignment="1">
      <alignment horizontal="center"/>
    </xf>
    <xf numFmtId="1" fontId="11" fillId="7" borderId="39" xfId="0" applyNumberFormat="1" applyFont="1" applyFill="1" applyBorder="1" applyAlignment="1">
      <alignment horizontal="center"/>
    </xf>
    <xf numFmtId="1" fontId="11" fillId="8" borderId="37" xfId="0" applyNumberFormat="1" applyFont="1" applyFill="1" applyBorder="1" applyAlignment="1">
      <alignment horizontal="center"/>
    </xf>
    <xf numFmtId="1" fontId="11" fillId="8" borderId="36" xfId="0" applyNumberFormat="1" applyFont="1" applyFill="1" applyBorder="1" applyAlignment="1">
      <alignment horizontal="center"/>
    </xf>
    <xf numFmtId="1" fontId="0" fillId="8" borderId="36" xfId="0" applyNumberFormat="1" applyFill="1" applyBorder="1" applyAlignment="1">
      <alignment horizontal="center"/>
    </xf>
    <xf numFmtId="0" fontId="18" fillId="0" borderId="40" xfId="0" applyFont="1" applyBorder="1" applyAlignment="1">
      <alignment horizontal="left"/>
    </xf>
    <xf numFmtId="0" fontId="18" fillId="0" borderId="31" xfId="0" applyFont="1" applyBorder="1" applyAlignment="1">
      <alignment shrinkToFit="1"/>
    </xf>
    <xf numFmtId="0" fontId="23" fillId="0" borderId="22" xfId="0" applyFont="1" applyBorder="1" applyAlignment="1">
      <alignment horizontal="center" shrinkToFit="1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22" fillId="15" borderId="0" xfId="0" applyNumberFormat="1" applyFont="1" applyFill="1" applyBorder="1" applyAlignment="1">
      <alignment horizontal="center"/>
    </xf>
    <xf numFmtId="165" fontId="22" fillId="15" borderId="0" xfId="0" applyNumberFormat="1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24" fillId="16" borderId="0" xfId="0" applyNumberFormat="1" applyFont="1" applyFill="1" applyBorder="1" applyAlignment="1">
      <alignment horizontal="center"/>
    </xf>
    <xf numFmtId="0" fontId="0" fillId="0" borderId="41" xfId="0" quotePrefix="1" applyBorder="1" applyAlignment="1">
      <alignment horizontal="left"/>
    </xf>
    <xf numFmtId="0" fontId="12" fillId="0" borderId="1" xfId="0" applyFont="1" applyBorder="1" applyAlignment="1">
      <alignment shrinkToFit="1"/>
    </xf>
    <xf numFmtId="0" fontId="20" fillId="0" borderId="42" xfId="0" applyFont="1" applyBorder="1" applyAlignment="1">
      <alignment horizontal="center" shrinkToFit="1"/>
    </xf>
    <xf numFmtId="2" fontId="12" fillId="11" borderId="26" xfId="0" applyNumberFormat="1" applyFont="1" applyFill="1" applyBorder="1" applyAlignment="1">
      <alignment horizontal="center"/>
    </xf>
    <xf numFmtId="2" fontId="12" fillId="11" borderId="29" xfId="0" applyNumberFormat="1" applyFont="1" applyFill="1" applyBorder="1" applyAlignment="1">
      <alignment horizontal="center"/>
    </xf>
    <xf numFmtId="2" fontId="12" fillId="11" borderId="28" xfId="0" applyNumberFormat="1" applyFont="1" applyFill="1" applyBorder="1" applyAlignment="1">
      <alignment horizontal="center"/>
    </xf>
    <xf numFmtId="165" fontId="22" fillId="0" borderId="30" xfId="0" applyNumberFormat="1" applyFont="1" applyFill="1" applyBorder="1" applyAlignment="1">
      <alignment horizontal="center"/>
    </xf>
    <xf numFmtId="0" fontId="12" fillId="14" borderId="28" xfId="0" applyFont="1" applyFill="1" applyBorder="1" applyAlignment="1">
      <alignment horizontal="center"/>
    </xf>
    <xf numFmtId="0" fontId="12" fillId="0" borderId="1" xfId="0" applyFont="1" applyBorder="1" applyAlignment="1">
      <alignment wrapText="1" shrinkToFit="1"/>
    </xf>
    <xf numFmtId="2" fontId="12" fillId="11" borderId="41" xfId="0" applyNumberFormat="1" applyFont="1" applyFill="1" applyBorder="1" applyAlignment="1">
      <alignment horizontal="center"/>
    </xf>
    <xf numFmtId="2" fontId="12" fillId="11" borderId="4" xfId="0" applyNumberFormat="1" applyFont="1" applyFill="1" applyBorder="1" applyAlignment="1">
      <alignment horizontal="center"/>
    </xf>
    <xf numFmtId="2" fontId="12" fillId="11" borderId="42" xfId="0" applyNumberFormat="1" applyFont="1" applyFill="1" applyBorder="1" applyAlignment="1">
      <alignment horizontal="center"/>
    </xf>
    <xf numFmtId="1" fontId="21" fillId="0" borderId="3" xfId="0" applyNumberFormat="1" applyFont="1" applyFill="1" applyBorder="1" applyAlignment="1">
      <alignment horizontal="center"/>
    </xf>
    <xf numFmtId="165" fontId="22" fillId="0" borderId="3" xfId="0" applyNumberFormat="1" applyFont="1" applyFill="1" applyBorder="1" applyAlignment="1">
      <alignment horizontal="center"/>
    </xf>
    <xf numFmtId="165" fontId="22" fillId="0" borderId="4" xfId="0" applyNumberFormat="1" applyFont="1" applyFill="1" applyBorder="1" applyAlignment="1">
      <alignment horizontal="center"/>
    </xf>
    <xf numFmtId="2" fontId="5" fillId="12" borderId="2" xfId="0" applyNumberFormat="1" applyFont="1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12" fillId="14" borderId="42" xfId="0" applyFont="1" applyFill="1" applyBorder="1" applyAlignment="1">
      <alignment horizontal="center"/>
    </xf>
    <xf numFmtId="164" fontId="11" fillId="7" borderId="43" xfId="0" applyNumberFormat="1" applyFont="1" applyFill="1" applyBorder="1" applyAlignment="1">
      <alignment horizontal="center"/>
    </xf>
    <xf numFmtId="1" fontId="11" fillId="7" borderId="43" xfId="0" applyNumberFormat="1" applyFont="1" applyFill="1" applyBorder="1" applyAlignment="1">
      <alignment horizontal="center"/>
    </xf>
    <xf numFmtId="1" fontId="11" fillId="8" borderId="3" xfId="0" applyNumberFormat="1" applyFont="1" applyFill="1" applyBorder="1" applyAlignment="1">
      <alignment horizontal="center"/>
    </xf>
    <xf numFmtId="164" fontId="11" fillId="8" borderId="4" xfId="0" applyNumberFormat="1" applyFont="1" applyFill="1" applyBorder="1" applyAlignment="1">
      <alignment horizontal="center"/>
    </xf>
    <xf numFmtId="1" fontId="11" fillId="8" borderId="4" xfId="0" applyNumberFormat="1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" fontId="12" fillId="11" borderId="41" xfId="0" applyNumberFormat="1" applyFont="1" applyFill="1" applyBorder="1" applyAlignment="1">
      <alignment horizontal="center"/>
    </xf>
    <xf numFmtId="1" fontId="12" fillId="11" borderId="4" xfId="0" applyNumberFormat="1" applyFont="1" applyFill="1" applyBorder="1" applyAlignment="1">
      <alignment horizontal="center"/>
    </xf>
    <xf numFmtId="1" fontId="12" fillId="11" borderId="42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1" fontId="0" fillId="8" borderId="4" xfId="0" applyNumberFormat="1" applyFill="1" applyBorder="1" applyAlignment="1">
      <alignment horizontal="center"/>
    </xf>
    <xf numFmtId="0" fontId="12" fillId="0" borderId="1" xfId="0" applyFont="1" applyBorder="1" applyAlignment="1">
      <alignment horizontal="left" wrapText="1" shrinkToFit="1"/>
    </xf>
    <xf numFmtId="0" fontId="20" fillId="0" borderId="42" xfId="0" applyFont="1" applyBorder="1" applyAlignment="1">
      <alignment horizontal="center" wrapText="1" shrinkToFit="1"/>
    </xf>
    <xf numFmtId="0" fontId="22" fillId="14" borderId="42" xfId="0" quotePrefix="1" applyFont="1" applyFill="1" applyBorder="1" applyAlignment="1">
      <alignment horizontal="center"/>
    </xf>
    <xf numFmtId="164" fontId="12" fillId="11" borderId="41" xfId="0" applyNumberFormat="1" applyFont="1" applyFill="1" applyBorder="1" applyAlignment="1">
      <alignment horizontal="center"/>
    </xf>
    <xf numFmtId="164" fontId="12" fillId="11" borderId="4" xfId="0" applyNumberFormat="1" applyFont="1" applyFill="1" applyBorder="1" applyAlignment="1">
      <alignment horizontal="center"/>
    </xf>
    <xf numFmtId="164" fontId="12" fillId="11" borderId="42" xfId="0" applyNumberFormat="1" applyFont="1" applyFill="1" applyBorder="1" applyAlignment="1">
      <alignment horizontal="center"/>
    </xf>
    <xf numFmtId="2" fontId="22" fillId="0" borderId="3" xfId="0" applyNumberFormat="1" applyFont="1" applyFill="1" applyBorder="1" applyAlignment="1">
      <alignment horizontal="center"/>
    </xf>
    <xf numFmtId="0" fontId="3" fillId="0" borderId="0" xfId="0" applyFont="1"/>
    <xf numFmtId="164" fontId="12" fillId="14" borderId="42" xfId="0" applyNumberFormat="1" applyFont="1" applyFill="1" applyBorder="1" applyAlignment="1">
      <alignment horizontal="center"/>
    </xf>
    <xf numFmtId="0" fontId="0" fillId="0" borderId="33" xfId="0" quotePrefix="1" applyBorder="1" applyAlignment="1">
      <alignment horizontal="left"/>
    </xf>
    <xf numFmtId="0" fontId="12" fillId="0" borderId="34" xfId="0" applyFont="1" applyBorder="1" applyAlignment="1">
      <alignment horizontal="left" wrapText="1" shrinkToFit="1"/>
    </xf>
    <xf numFmtId="164" fontId="12" fillId="11" borderId="33" xfId="0" applyNumberFormat="1" applyFont="1" applyFill="1" applyBorder="1" applyAlignment="1">
      <alignment horizontal="center"/>
    </xf>
    <xf numFmtId="164" fontId="12" fillId="11" borderId="36" xfId="0" applyNumberFormat="1" applyFont="1" applyFill="1" applyBorder="1" applyAlignment="1">
      <alignment horizontal="center"/>
    </xf>
    <xf numFmtId="164" fontId="12" fillId="11" borderId="35" xfId="0" applyNumberFormat="1" applyFont="1" applyFill="1" applyBorder="1" applyAlignment="1">
      <alignment horizontal="center"/>
    </xf>
    <xf numFmtId="0" fontId="18" fillId="0" borderId="44" xfId="0" applyFont="1" applyBorder="1" applyAlignment="1">
      <alignment horizontal="left"/>
    </xf>
    <xf numFmtId="0" fontId="18" fillId="0" borderId="45" xfId="0" applyFont="1" applyFill="1" applyBorder="1" applyAlignment="1">
      <alignment horizontal="left" wrapText="1" shrinkToFit="1"/>
    </xf>
    <xf numFmtId="0" fontId="18" fillId="0" borderId="46" xfId="0" applyFont="1" applyFill="1" applyBorder="1" applyAlignment="1">
      <alignment horizontal="center" vertical="top" wrapText="1" shrinkToFit="1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2" fontId="22" fillId="15" borderId="45" xfId="0" applyNumberFormat="1" applyFont="1" applyFill="1" applyBorder="1" applyAlignment="1">
      <alignment horizontal="center"/>
    </xf>
    <xf numFmtId="165" fontId="22" fillId="15" borderId="45" xfId="0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0" xfId="0" applyBorder="1"/>
    <xf numFmtId="2" fontId="12" fillId="11" borderId="48" xfId="0" applyNumberFormat="1" applyFont="1" applyFill="1" applyBorder="1" applyAlignment="1">
      <alignment horizontal="center"/>
    </xf>
    <xf numFmtId="2" fontId="12" fillId="11" borderId="25" xfId="0" applyNumberFormat="1" applyFont="1" applyFill="1" applyBorder="1" applyAlignment="1">
      <alignment horizontal="center"/>
    </xf>
    <xf numFmtId="2" fontId="12" fillId="11" borderId="49" xfId="0" applyNumberFormat="1" applyFont="1" applyFill="1" applyBorder="1" applyAlignment="1">
      <alignment horizontal="center"/>
    </xf>
    <xf numFmtId="165" fontId="22" fillId="0" borderId="4" xfId="0" quotePrefix="1" applyNumberFormat="1" applyFont="1" applyFill="1" applyBorder="1" applyAlignment="1">
      <alignment horizontal="center"/>
    </xf>
    <xf numFmtId="164" fontId="12" fillId="11" borderId="48" xfId="0" applyNumberFormat="1" applyFont="1" applyFill="1" applyBorder="1" applyAlignment="1">
      <alignment horizontal="center"/>
    </xf>
    <xf numFmtId="164" fontId="12" fillId="11" borderId="25" xfId="0" applyNumberFormat="1" applyFont="1" applyFill="1" applyBorder="1" applyAlignment="1">
      <alignment horizontal="center"/>
    </xf>
    <xf numFmtId="164" fontId="12" fillId="11" borderId="49" xfId="0" applyNumberFormat="1" applyFont="1" applyFill="1" applyBorder="1" applyAlignment="1">
      <alignment horizontal="center"/>
    </xf>
    <xf numFmtId="165" fontId="12" fillId="11" borderId="48" xfId="0" applyNumberFormat="1" applyFont="1" applyFill="1" applyBorder="1" applyAlignment="1">
      <alignment horizontal="center"/>
    </xf>
    <xf numFmtId="165" fontId="12" fillId="11" borderId="25" xfId="0" applyNumberFormat="1" applyFont="1" applyFill="1" applyBorder="1" applyAlignment="1">
      <alignment horizontal="center"/>
    </xf>
    <xf numFmtId="165" fontId="12" fillId="11" borderId="49" xfId="0" applyNumberFormat="1" applyFont="1" applyFill="1" applyBorder="1" applyAlignment="1">
      <alignment horizontal="center"/>
    </xf>
    <xf numFmtId="166" fontId="22" fillId="0" borderId="3" xfId="0" applyNumberFormat="1" applyFont="1" applyFill="1" applyBorder="1" applyAlignment="1">
      <alignment horizontal="center"/>
    </xf>
    <xf numFmtId="2" fontId="11" fillId="7" borderId="43" xfId="0" applyNumberFormat="1" applyFont="1" applyFill="1" applyBorder="1" applyAlignment="1">
      <alignment horizontal="center"/>
    </xf>
    <xf numFmtId="2" fontId="11" fillId="8" borderId="4" xfId="0" applyNumberFormat="1" applyFont="1" applyFill="1" applyBorder="1" applyAlignment="1">
      <alignment horizontal="center"/>
    </xf>
    <xf numFmtId="2" fontId="0" fillId="8" borderId="4" xfId="0" applyNumberFormat="1" applyFill="1" applyBorder="1" applyAlignment="1">
      <alignment horizontal="center"/>
    </xf>
    <xf numFmtId="165" fontId="11" fillId="7" borderId="43" xfId="0" applyNumberFormat="1" applyFont="1" applyFill="1" applyBorder="1" applyAlignment="1">
      <alignment horizontal="center"/>
    </xf>
    <xf numFmtId="165" fontId="11" fillId="8" borderId="4" xfId="0" applyNumberFormat="1" applyFont="1" applyFill="1" applyBorder="1" applyAlignment="1">
      <alignment horizontal="center"/>
    </xf>
    <xf numFmtId="165" fontId="0" fillId="8" borderId="4" xfId="0" applyNumberFormat="1" applyFill="1" applyBorder="1" applyAlignment="1">
      <alignment horizontal="center"/>
    </xf>
    <xf numFmtId="166" fontId="12" fillId="11" borderId="48" xfId="0" applyNumberFormat="1" applyFont="1" applyFill="1" applyBorder="1" applyAlignment="1">
      <alignment horizontal="center"/>
    </xf>
    <xf numFmtId="166" fontId="12" fillId="11" borderId="25" xfId="0" applyNumberFormat="1" applyFont="1" applyFill="1" applyBorder="1" applyAlignment="1">
      <alignment horizontal="center"/>
    </xf>
    <xf numFmtId="166" fontId="12" fillId="11" borderId="49" xfId="0" applyNumberFormat="1" applyFont="1" applyFill="1" applyBorder="1" applyAlignment="1">
      <alignment horizontal="center"/>
    </xf>
    <xf numFmtId="167" fontId="22" fillId="0" borderId="3" xfId="0" applyNumberFormat="1" applyFont="1" applyFill="1" applyBorder="1" applyAlignment="1">
      <alignment horizontal="center"/>
    </xf>
    <xf numFmtId="0" fontId="20" fillId="0" borderId="35" xfId="0" applyFont="1" applyBorder="1" applyAlignment="1">
      <alignment horizontal="center" wrapText="1" shrinkToFit="1"/>
    </xf>
    <xf numFmtId="1" fontId="12" fillId="11" borderId="48" xfId="0" applyNumberFormat="1" applyFont="1" applyFill="1" applyBorder="1" applyAlignment="1">
      <alignment horizontal="center"/>
    </xf>
    <xf numFmtId="1" fontId="12" fillId="11" borderId="25" xfId="0" applyNumberFormat="1" applyFont="1" applyFill="1" applyBorder="1" applyAlignment="1">
      <alignment horizontal="center"/>
    </xf>
    <xf numFmtId="1" fontId="12" fillId="11" borderId="49" xfId="0" applyNumberFormat="1" applyFont="1" applyFill="1" applyBorder="1" applyAlignment="1">
      <alignment horizontal="center"/>
    </xf>
    <xf numFmtId="1" fontId="11" fillId="8" borderId="33" xfId="0" applyNumberFormat="1" applyFont="1" applyFill="1" applyBorder="1" applyAlignment="1">
      <alignment horizontal="center"/>
    </xf>
    <xf numFmtId="0" fontId="0" fillId="0" borderId="26" xfId="0" quotePrefix="1" applyBorder="1" applyAlignment="1">
      <alignment horizontal="left"/>
    </xf>
    <xf numFmtId="0" fontId="19" fillId="0" borderId="50" xfId="0" applyFont="1" applyBorder="1" applyAlignment="1">
      <alignment horizontal="left" wrapText="1"/>
    </xf>
    <xf numFmtId="0" fontId="12" fillId="0" borderId="50" xfId="0" applyFont="1" applyBorder="1" applyAlignment="1">
      <alignment horizontal="center" vertical="top" wrapText="1"/>
    </xf>
    <xf numFmtId="0" fontId="0" fillId="0" borderId="50" xfId="0" applyBorder="1" applyAlignment="1">
      <alignment horizontal="center"/>
    </xf>
    <xf numFmtId="2" fontId="0" fillId="15" borderId="50" xfId="0" applyNumberFormat="1" applyFill="1" applyBorder="1" applyAlignment="1">
      <alignment horizontal="center"/>
    </xf>
    <xf numFmtId="165" fontId="0" fillId="15" borderId="50" xfId="0" applyNumberFormat="1" applyFill="1" applyBorder="1" applyAlignment="1">
      <alignment horizontal="center"/>
    </xf>
    <xf numFmtId="0" fontId="12" fillId="0" borderId="4" xfId="0" applyFont="1" applyBorder="1"/>
    <xf numFmtId="0" fontId="20" fillId="0" borderId="42" xfId="0" applyFont="1" applyBorder="1" applyAlignment="1">
      <alignment horizontal="center"/>
    </xf>
    <xf numFmtId="0" fontId="12" fillId="0" borderId="4" xfId="0" applyFont="1" applyBorder="1" applyAlignment="1">
      <alignment wrapText="1" shrinkToFit="1"/>
    </xf>
    <xf numFmtId="1" fontId="21" fillId="0" borderId="41" xfId="0" applyNumberFormat="1" applyFont="1" applyFill="1" applyBorder="1" applyAlignment="1">
      <alignment horizontal="center"/>
    </xf>
    <xf numFmtId="1" fontId="11" fillId="8" borderId="41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left" wrapText="1" shrinkToFit="1"/>
    </xf>
    <xf numFmtId="164" fontId="12" fillId="4" borderId="41" xfId="0" applyNumberFormat="1" applyFont="1" applyFill="1" applyBorder="1" applyAlignment="1">
      <alignment horizontal="center"/>
    </xf>
    <xf numFmtId="164" fontId="12" fillId="4" borderId="4" xfId="0" applyNumberFormat="1" applyFont="1" applyFill="1" applyBorder="1" applyAlignment="1">
      <alignment horizontal="center"/>
    </xf>
    <xf numFmtId="164" fontId="12" fillId="4" borderId="42" xfId="0" applyNumberFormat="1" applyFont="1" applyFill="1" applyBorder="1" applyAlignment="1">
      <alignment horizontal="center"/>
    </xf>
    <xf numFmtId="0" fontId="20" fillId="0" borderId="51" xfId="0" applyFont="1" applyBorder="1" applyAlignment="1">
      <alignment horizontal="center" shrinkToFit="1"/>
    </xf>
    <xf numFmtId="1" fontId="12" fillId="14" borderId="42" xfId="0" applyNumberFormat="1" applyFont="1" applyFill="1" applyBorder="1" applyAlignment="1">
      <alignment horizontal="center"/>
    </xf>
    <xf numFmtId="0" fontId="3" fillId="0" borderId="48" xfId="0" quotePrefix="1" applyFont="1" applyBorder="1" applyAlignment="1">
      <alignment horizontal="left"/>
    </xf>
    <xf numFmtId="0" fontId="12" fillId="0" borderId="25" xfId="0" applyFont="1" applyBorder="1" applyAlignment="1">
      <alignment wrapText="1" shrinkToFit="1"/>
    </xf>
    <xf numFmtId="0" fontId="20" fillId="0" borderId="52" xfId="0" applyFont="1" applyBorder="1" applyAlignment="1">
      <alignment horizontal="center" shrinkToFit="1"/>
    </xf>
    <xf numFmtId="2" fontId="12" fillId="4" borderId="48" xfId="0" applyNumberFormat="1" applyFont="1" applyFill="1" applyBorder="1" applyAlignment="1">
      <alignment horizontal="center"/>
    </xf>
    <xf numFmtId="2" fontId="12" fillId="4" borderId="25" xfId="0" applyNumberFormat="1" applyFont="1" applyFill="1" applyBorder="1" applyAlignment="1">
      <alignment horizontal="center"/>
    </xf>
    <xf numFmtId="2" fontId="12" fillId="4" borderId="49" xfId="0" applyNumberFormat="1" applyFont="1" applyFill="1" applyBorder="1" applyAlignment="1">
      <alignment horizontal="center"/>
    </xf>
    <xf numFmtId="1" fontId="21" fillId="0" borderId="48" xfId="0" applyNumberFormat="1" applyFont="1" applyFill="1" applyBorder="1" applyAlignment="1">
      <alignment horizontal="center"/>
    </xf>
    <xf numFmtId="165" fontId="22" fillId="0" borderId="53" xfId="0" applyNumberFormat="1" applyFont="1" applyFill="1" applyBorder="1" applyAlignment="1">
      <alignment horizontal="center"/>
    </xf>
    <xf numFmtId="165" fontId="22" fillId="0" borderId="25" xfId="0" applyNumberFormat="1" applyFont="1" applyFill="1" applyBorder="1" applyAlignment="1">
      <alignment horizontal="center"/>
    </xf>
    <xf numFmtId="2" fontId="5" fillId="12" borderId="54" xfId="0" applyNumberFormat="1" applyFont="1" applyFill="1" applyBorder="1" applyAlignment="1">
      <alignment horizontal="center"/>
    </xf>
    <xf numFmtId="0" fontId="11" fillId="13" borderId="25" xfId="0" applyFont="1" applyFill="1" applyBorder="1" applyAlignment="1">
      <alignment horizontal="center"/>
    </xf>
    <xf numFmtId="2" fontId="12" fillId="14" borderId="49" xfId="0" applyNumberFormat="1" applyFont="1" applyFill="1" applyBorder="1" applyAlignment="1">
      <alignment horizontal="center"/>
    </xf>
    <xf numFmtId="2" fontId="11" fillId="7" borderId="55" xfId="0" applyNumberFormat="1" applyFont="1" applyFill="1" applyBorder="1" applyAlignment="1">
      <alignment horizontal="center"/>
    </xf>
    <xf numFmtId="1" fontId="11" fillId="7" borderId="55" xfId="0" applyNumberFormat="1" applyFont="1" applyFill="1" applyBorder="1" applyAlignment="1">
      <alignment horizontal="center"/>
    </xf>
    <xf numFmtId="1" fontId="11" fillId="8" borderId="48" xfId="0" applyNumberFormat="1" applyFont="1" applyFill="1" applyBorder="1" applyAlignment="1">
      <alignment horizontal="center"/>
    </xf>
    <xf numFmtId="2" fontId="11" fillId="8" borderId="25" xfId="0" applyNumberFormat="1" applyFont="1" applyFill="1" applyBorder="1" applyAlignment="1">
      <alignment horizontal="center"/>
    </xf>
    <xf numFmtId="1" fontId="11" fillId="8" borderId="25" xfId="0" applyNumberFormat="1" applyFont="1" applyFill="1" applyBorder="1" applyAlignment="1">
      <alignment horizontal="center"/>
    </xf>
    <xf numFmtId="2" fontId="0" fillId="8" borderId="25" xfId="0" applyNumberFormat="1" applyFill="1" applyBorder="1" applyAlignment="1">
      <alignment horizontal="center"/>
    </xf>
    <xf numFmtId="0" fontId="27" fillId="0" borderId="36" xfId="0" applyFont="1" applyFill="1" applyBorder="1" applyAlignment="1">
      <alignment horizontal="left" vertical="center" wrapText="1"/>
    </xf>
    <xf numFmtId="0" fontId="20" fillId="0" borderId="56" xfId="0" applyFont="1" applyFill="1" applyBorder="1" applyAlignment="1">
      <alignment horizontal="center" shrinkToFit="1"/>
    </xf>
    <xf numFmtId="166" fontId="12" fillId="4" borderId="33" xfId="0" applyNumberFormat="1" applyFont="1" applyFill="1" applyBorder="1" applyAlignment="1">
      <alignment horizontal="center"/>
    </xf>
    <xf numFmtId="166" fontId="12" fillId="4" borderId="36" xfId="0" applyNumberFormat="1" applyFont="1" applyFill="1" applyBorder="1" applyAlignment="1">
      <alignment horizontal="center"/>
    </xf>
    <xf numFmtId="166" fontId="12" fillId="4" borderId="35" xfId="0" applyNumberFormat="1" applyFont="1" applyFill="1" applyBorder="1" applyAlignment="1">
      <alignment horizontal="center"/>
    </xf>
    <xf numFmtId="1" fontId="21" fillId="0" borderId="33" xfId="0" applyNumberFormat="1" applyFont="1" applyFill="1" applyBorder="1" applyAlignment="1">
      <alignment horizontal="center"/>
    </xf>
    <xf numFmtId="167" fontId="22" fillId="0" borderId="37" xfId="0" applyNumberFormat="1" applyFont="1" applyFill="1" applyBorder="1" applyAlignment="1">
      <alignment horizontal="center"/>
    </xf>
    <xf numFmtId="165" fontId="12" fillId="14" borderId="35" xfId="0" applyNumberFormat="1" applyFont="1" applyFill="1" applyBorder="1" applyAlignment="1">
      <alignment horizontal="center"/>
    </xf>
    <xf numFmtId="165" fontId="11" fillId="7" borderId="39" xfId="0" applyNumberFormat="1" applyFont="1" applyFill="1" applyBorder="1" applyAlignment="1">
      <alignment horizontal="center"/>
    </xf>
    <xf numFmtId="165" fontId="11" fillId="8" borderId="36" xfId="0" applyNumberFormat="1" applyFont="1" applyFill="1" applyBorder="1" applyAlignment="1">
      <alignment horizontal="center"/>
    </xf>
    <xf numFmtId="165" fontId="0" fillId="8" borderId="36" xfId="0" applyNumberForma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1" fontId="11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4" fillId="9" borderId="1" xfId="0" applyFont="1" applyFill="1" applyBorder="1" applyAlignment="1">
      <alignment horizontal="center" wrapText="1" shrinkToFit="1"/>
    </xf>
    <xf numFmtId="0" fontId="4" fillId="9" borderId="2" xfId="0" applyFont="1" applyFill="1" applyBorder="1" applyAlignment="1">
      <alignment horizontal="center" wrapText="1" shrinkToFi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/>
    </xf>
    <xf numFmtId="0" fontId="5" fillId="0" borderId="25" xfId="0" applyFont="1" applyBorder="1" applyAlignment="1">
      <alignment horizontal="center" textRotation="90"/>
    </xf>
    <xf numFmtId="0" fontId="12" fillId="0" borderId="4" xfId="0" applyFont="1" applyFill="1" applyBorder="1" applyAlignment="1">
      <alignment horizontal="center" textRotation="90" wrapText="1"/>
    </xf>
    <xf numFmtId="0" fontId="12" fillId="0" borderId="4" xfId="0" applyFont="1" applyFill="1" applyBorder="1" applyAlignment="1">
      <alignment horizontal="center" textRotation="90"/>
    </xf>
    <xf numFmtId="0" fontId="12" fillId="0" borderId="25" xfId="0" applyFont="1" applyFill="1" applyBorder="1" applyAlignment="1">
      <alignment horizontal="center" textRotation="90"/>
    </xf>
    <xf numFmtId="0" fontId="13" fillId="0" borderId="10" xfId="0" applyFont="1" applyBorder="1" applyAlignment="1">
      <alignment horizontal="center" wrapText="1" shrinkToFit="1"/>
    </xf>
    <xf numFmtId="0" fontId="13" fillId="0" borderId="19" xfId="0" applyFont="1" applyBorder="1" applyAlignment="1">
      <alignment horizont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5" fillId="0" borderId="15" xfId="0" applyFont="1" applyBorder="1" applyAlignment="1">
      <alignment horizontal="center" wrapText="1" shrinkToFit="1"/>
    </xf>
    <xf numFmtId="0" fontId="15" fillId="0" borderId="20" xfId="0" applyFont="1" applyBorder="1" applyAlignment="1">
      <alignment horizontal="center" wrapText="1" shrinkToFit="1"/>
    </xf>
    <xf numFmtId="0" fontId="15" fillId="0" borderId="16" xfId="0" applyFont="1" applyBorder="1" applyAlignment="1">
      <alignment horizontal="center" wrapText="1" shrinkToFit="1"/>
    </xf>
    <xf numFmtId="0" fontId="15" fillId="0" borderId="21" xfId="0" applyFont="1" applyBorder="1" applyAlignment="1">
      <alignment horizontal="center" wrapText="1" shrinkToFi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 shrinkToFit="1"/>
    </xf>
    <xf numFmtId="0" fontId="5" fillId="0" borderId="24" xfId="0" applyFont="1" applyBorder="1" applyAlignment="1">
      <alignment horizontal="center" wrapText="1" shrinkToFi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wrapText="1" shrinkToFit="1"/>
    </xf>
    <xf numFmtId="0" fontId="16" fillId="0" borderId="23" xfId="0" applyFont="1" applyBorder="1" applyAlignment="1">
      <alignment horizontal="center" wrapText="1" shrinkToFit="1"/>
    </xf>
    <xf numFmtId="0" fontId="14" fillId="0" borderId="4" xfId="0" applyFont="1" applyFill="1" applyBorder="1" applyAlignment="1">
      <alignment horizontal="center" wrapText="1" shrinkToFit="1"/>
    </xf>
    <xf numFmtId="0" fontId="14" fillId="0" borderId="25" xfId="0" applyFont="1" applyFill="1" applyBorder="1" applyAlignment="1">
      <alignment horizontal="center" wrapText="1" shrinkToFit="1"/>
    </xf>
    <xf numFmtId="0" fontId="13" fillId="0" borderId="4" xfId="0" applyFont="1" applyFill="1" applyBorder="1" applyAlignment="1">
      <alignment horizontal="center" wrapText="1" shrinkToFit="1"/>
    </xf>
    <xf numFmtId="0" fontId="13" fillId="0" borderId="25" xfId="0" applyFont="1" applyFill="1" applyBorder="1" applyAlignment="1">
      <alignment horizontal="center" wrapText="1" shrinkToFit="1"/>
    </xf>
    <xf numFmtId="0" fontId="13" fillId="0" borderId="0" xfId="0" applyFont="1" applyBorder="1" applyAlignment="1">
      <alignment horizontal="center" wrapText="1" shrinkToFit="1"/>
    </xf>
    <xf numFmtId="0" fontId="0" fillId="0" borderId="0" xfId="0" applyBorder="1" applyAlignment="1">
      <alignment horizontal="center" wrapText="1" shrinkToFit="1"/>
    </xf>
    <xf numFmtId="0" fontId="13" fillId="0" borderId="11" xfId="0" applyFont="1" applyFill="1" applyBorder="1" applyAlignment="1">
      <alignment horizontal="center" wrapText="1" shrinkToFit="1"/>
    </xf>
    <xf numFmtId="0" fontId="0" fillId="0" borderId="11" xfId="0" applyFill="1" applyBorder="1" applyAlignment="1">
      <alignment horizontal="center" wrapText="1" shrinkToFit="1"/>
    </xf>
    <xf numFmtId="0" fontId="10" fillId="8" borderId="12" xfId="0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700147\AppData\Local\Temp\notes65C8FE\Bestimmung%20der%20Werte%20der%20GC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 zur Tab.Prüfung ZOW"/>
      <sheetName val="Tab. Prüfung ZOW   "/>
      <sheetName val="U-MP1"/>
      <sheetName val="U-MP2"/>
      <sheetName val="U-MP3"/>
      <sheetName val="U-MP4"/>
      <sheetName val="U-MP5"/>
      <sheetName val="U-MP6"/>
      <sheetName val="U-MP7"/>
      <sheetName val="U-MP8"/>
      <sheetName val="U-MP9"/>
      <sheetName val="U-MP10"/>
      <sheetName val="U-MP11"/>
      <sheetName val="U-MP12"/>
      <sheetName val="U-MP13"/>
      <sheetName val="U-MP14"/>
      <sheetName val="U-MP15"/>
    </sheetNames>
    <sheetDataSet>
      <sheetData sheetId="0"/>
      <sheetData sheetId="1"/>
      <sheetData sheetId="2">
        <row r="4">
          <cell r="E4">
            <v>5.3</v>
          </cell>
        </row>
        <row r="7">
          <cell r="E7"/>
        </row>
        <row r="8">
          <cell r="E8"/>
        </row>
        <row r="10">
          <cell r="E10"/>
        </row>
        <row r="11">
          <cell r="E11"/>
        </row>
        <row r="12">
          <cell r="E12"/>
        </row>
        <row r="13">
          <cell r="E13"/>
        </row>
        <row r="14">
          <cell r="E14"/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3">
          <cell r="E23"/>
        </row>
        <row r="24">
          <cell r="E24"/>
        </row>
        <row r="25">
          <cell r="E25"/>
        </row>
        <row r="26">
          <cell r="E26"/>
        </row>
        <row r="27">
          <cell r="E27"/>
        </row>
        <row r="28">
          <cell r="E28"/>
        </row>
        <row r="29">
          <cell r="E29"/>
        </row>
        <row r="30">
          <cell r="E30"/>
        </row>
        <row r="31">
          <cell r="E31"/>
        </row>
        <row r="32">
          <cell r="E32"/>
        </row>
        <row r="33">
          <cell r="E33"/>
        </row>
        <row r="34">
          <cell r="E34"/>
        </row>
        <row r="35">
          <cell r="E35"/>
        </row>
        <row r="36">
          <cell r="E36"/>
        </row>
        <row r="37">
          <cell r="E37"/>
        </row>
        <row r="38">
          <cell r="E38"/>
        </row>
        <row r="39">
          <cell r="E39"/>
        </row>
        <row r="40">
          <cell r="E40"/>
        </row>
        <row r="41">
          <cell r="E41"/>
        </row>
        <row r="42">
          <cell r="E42"/>
        </row>
        <row r="43">
          <cell r="E43"/>
        </row>
        <row r="45">
          <cell r="E45"/>
        </row>
        <row r="46">
          <cell r="E46"/>
        </row>
        <row r="47">
          <cell r="E47"/>
        </row>
        <row r="48">
          <cell r="E48"/>
        </row>
        <row r="49">
          <cell r="E49"/>
        </row>
        <row r="50">
          <cell r="E50"/>
        </row>
        <row r="51">
          <cell r="E51"/>
        </row>
        <row r="52">
          <cell r="E52"/>
        </row>
        <row r="53">
          <cell r="E53"/>
        </row>
        <row r="54">
          <cell r="E54"/>
        </row>
        <row r="55">
          <cell r="E55"/>
        </row>
        <row r="56">
          <cell r="E56"/>
        </row>
        <row r="57">
          <cell r="E57"/>
        </row>
        <row r="58">
          <cell r="E58"/>
        </row>
      </sheetData>
      <sheetData sheetId="3">
        <row r="4">
          <cell r="E4"/>
        </row>
        <row r="5">
          <cell r="E5"/>
        </row>
        <row r="7">
          <cell r="E7"/>
        </row>
        <row r="8">
          <cell r="E8"/>
        </row>
        <row r="9">
          <cell r="E9"/>
        </row>
        <row r="10">
          <cell r="E10"/>
        </row>
        <row r="11">
          <cell r="E11"/>
        </row>
        <row r="12">
          <cell r="E12"/>
        </row>
        <row r="13">
          <cell r="E13"/>
        </row>
        <row r="14">
          <cell r="E14"/>
        </row>
        <row r="15">
          <cell r="E15"/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2">
          <cell r="E22"/>
        </row>
        <row r="23">
          <cell r="E23"/>
        </row>
        <row r="24">
          <cell r="E24"/>
        </row>
        <row r="25">
          <cell r="E25"/>
        </row>
        <row r="26">
          <cell r="E26"/>
        </row>
        <row r="27">
          <cell r="E27"/>
        </row>
        <row r="28">
          <cell r="E28"/>
        </row>
        <row r="29">
          <cell r="E29"/>
        </row>
        <row r="30">
          <cell r="E30"/>
        </row>
        <row r="31">
          <cell r="E31"/>
        </row>
        <row r="32">
          <cell r="E32"/>
        </row>
        <row r="33">
          <cell r="E33"/>
        </row>
        <row r="34">
          <cell r="E34"/>
        </row>
        <row r="35">
          <cell r="E35"/>
        </row>
        <row r="36">
          <cell r="E36"/>
        </row>
        <row r="37">
          <cell r="E37"/>
        </row>
        <row r="38">
          <cell r="E38"/>
        </row>
        <row r="39">
          <cell r="E39"/>
        </row>
        <row r="40">
          <cell r="E40"/>
        </row>
        <row r="41">
          <cell r="E41"/>
        </row>
        <row r="42">
          <cell r="E42"/>
        </row>
        <row r="43">
          <cell r="E43"/>
        </row>
        <row r="45">
          <cell r="E45"/>
        </row>
        <row r="46">
          <cell r="E46"/>
        </row>
        <row r="47">
          <cell r="E47"/>
        </row>
        <row r="48">
          <cell r="E48"/>
        </row>
        <row r="49">
          <cell r="E49"/>
        </row>
        <row r="50">
          <cell r="E50"/>
        </row>
        <row r="51">
          <cell r="E51"/>
        </row>
        <row r="52">
          <cell r="E52"/>
        </row>
        <row r="53">
          <cell r="E53"/>
        </row>
        <row r="54">
          <cell r="E54"/>
        </row>
        <row r="55">
          <cell r="E55"/>
        </row>
        <row r="56">
          <cell r="E56"/>
        </row>
        <row r="57">
          <cell r="E57"/>
        </row>
        <row r="58">
          <cell r="E58"/>
        </row>
      </sheetData>
      <sheetData sheetId="4">
        <row r="4">
          <cell r="E4"/>
        </row>
        <row r="5">
          <cell r="E5"/>
        </row>
        <row r="7">
          <cell r="E7"/>
        </row>
        <row r="8">
          <cell r="E8"/>
        </row>
        <row r="9">
          <cell r="E9"/>
        </row>
        <row r="10">
          <cell r="E10"/>
        </row>
        <row r="11">
          <cell r="E11"/>
        </row>
        <row r="12">
          <cell r="E12"/>
        </row>
        <row r="13">
          <cell r="E13"/>
        </row>
        <row r="14">
          <cell r="E14"/>
        </row>
        <row r="15">
          <cell r="E15"/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2">
          <cell r="E22"/>
        </row>
        <row r="23">
          <cell r="E23"/>
        </row>
        <row r="24">
          <cell r="E24"/>
        </row>
        <row r="25">
          <cell r="E25"/>
        </row>
        <row r="26">
          <cell r="E26"/>
        </row>
        <row r="27">
          <cell r="E27"/>
        </row>
        <row r="28">
          <cell r="E28"/>
        </row>
        <row r="29">
          <cell r="E29"/>
        </row>
        <row r="30">
          <cell r="E30"/>
        </row>
        <row r="31">
          <cell r="E31"/>
        </row>
        <row r="32">
          <cell r="E32"/>
        </row>
        <row r="33">
          <cell r="E33"/>
        </row>
        <row r="34">
          <cell r="E34"/>
        </row>
        <row r="35">
          <cell r="E35"/>
        </row>
        <row r="36">
          <cell r="E36"/>
        </row>
        <row r="37">
          <cell r="E37"/>
        </row>
        <row r="38">
          <cell r="E38"/>
        </row>
        <row r="39">
          <cell r="E39"/>
        </row>
        <row r="40">
          <cell r="E40"/>
        </row>
        <row r="41">
          <cell r="E41"/>
        </row>
        <row r="42">
          <cell r="E42"/>
        </row>
        <row r="43">
          <cell r="E43"/>
        </row>
        <row r="45">
          <cell r="E45"/>
        </row>
        <row r="46">
          <cell r="E46"/>
        </row>
        <row r="47">
          <cell r="E47"/>
        </row>
        <row r="48">
          <cell r="E48"/>
        </row>
        <row r="49">
          <cell r="E49"/>
        </row>
        <row r="50">
          <cell r="E50"/>
        </row>
        <row r="51">
          <cell r="E51"/>
        </row>
        <row r="52">
          <cell r="E52"/>
        </row>
        <row r="53">
          <cell r="E53"/>
        </row>
        <row r="54">
          <cell r="E54"/>
        </row>
        <row r="55">
          <cell r="E55"/>
        </row>
        <row r="56">
          <cell r="E56"/>
        </row>
        <row r="57">
          <cell r="E57"/>
        </row>
        <row r="58">
          <cell r="E58"/>
        </row>
      </sheetData>
      <sheetData sheetId="5">
        <row r="4">
          <cell r="E4"/>
        </row>
        <row r="5">
          <cell r="E5"/>
        </row>
        <row r="7">
          <cell r="E7"/>
        </row>
        <row r="8">
          <cell r="E8"/>
        </row>
        <row r="9">
          <cell r="E9"/>
        </row>
        <row r="10">
          <cell r="E10"/>
        </row>
        <row r="11">
          <cell r="E11"/>
        </row>
        <row r="12">
          <cell r="E12"/>
        </row>
        <row r="13">
          <cell r="E13"/>
        </row>
        <row r="14">
          <cell r="E14"/>
        </row>
        <row r="15">
          <cell r="E15"/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2">
          <cell r="E22"/>
        </row>
        <row r="23">
          <cell r="E23"/>
        </row>
        <row r="24">
          <cell r="E24"/>
        </row>
        <row r="25">
          <cell r="E25"/>
        </row>
        <row r="26">
          <cell r="E26"/>
        </row>
        <row r="27">
          <cell r="E27"/>
        </row>
        <row r="28">
          <cell r="E28"/>
        </row>
        <row r="29">
          <cell r="E29"/>
        </row>
        <row r="30">
          <cell r="E30"/>
        </row>
        <row r="31">
          <cell r="E31"/>
        </row>
        <row r="32">
          <cell r="E32"/>
        </row>
        <row r="33">
          <cell r="E33"/>
        </row>
        <row r="34">
          <cell r="E34"/>
        </row>
        <row r="35">
          <cell r="E35"/>
        </row>
        <row r="36">
          <cell r="E36"/>
        </row>
        <row r="37">
          <cell r="E37"/>
        </row>
        <row r="38">
          <cell r="E38"/>
        </row>
        <row r="39">
          <cell r="E39"/>
        </row>
        <row r="40">
          <cell r="E40"/>
        </row>
        <row r="41">
          <cell r="E41"/>
        </row>
        <row r="42">
          <cell r="E42"/>
        </row>
        <row r="43">
          <cell r="E43"/>
        </row>
        <row r="45">
          <cell r="E45"/>
        </row>
        <row r="46">
          <cell r="E46"/>
        </row>
        <row r="47">
          <cell r="E47"/>
        </row>
        <row r="48">
          <cell r="E48"/>
        </row>
        <row r="49">
          <cell r="E49"/>
        </row>
        <row r="50">
          <cell r="E50"/>
        </row>
        <row r="51">
          <cell r="E51"/>
        </row>
        <row r="52">
          <cell r="E52"/>
        </row>
        <row r="53">
          <cell r="E53"/>
        </row>
        <row r="54">
          <cell r="E54"/>
        </row>
        <row r="55">
          <cell r="E55"/>
        </row>
        <row r="56">
          <cell r="E56"/>
        </row>
        <row r="57">
          <cell r="E57"/>
        </row>
        <row r="58">
          <cell r="E58"/>
        </row>
      </sheetData>
      <sheetData sheetId="6">
        <row r="4">
          <cell r="E4"/>
        </row>
        <row r="5">
          <cell r="E5"/>
        </row>
        <row r="7">
          <cell r="E7"/>
        </row>
        <row r="8">
          <cell r="E8"/>
        </row>
        <row r="9">
          <cell r="E9"/>
        </row>
        <row r="10">
          <cell r="E10"/>
        </row>
        <row r="11">
          <cell r="E11"/>
        </row>
        <row r="12">
          <cell r="E12"/>
        </row>
        <row r="13">
          <cell r="E13"/>
        </row>
        <row r="14">
          <cell r="E14"/>
        </row>
        <row r="15">
          <cell r="E15"/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2">
          <cell r="E22"/>
        </row>
        <row r="23">
          <cell r="E23"/>
        </row>
        <row r="24">
          <cell r="E24"/>
        </row>
        <row r="25">
          <cell r="E25"/>
        </row>
        <row r="26">
          <cell r="E26"/>
        </row>
        <row r="27">
          <cell r="E27"/>
        </row>
        <row r="28">
          <cell r="E28"/>
        </row>
        <row r="29">
          <cell r="E29"/>
        </row>
        <row r="30">
          <cell r="E30"/>
        </row>
        <row r="31">
          <cell r="E31"/>
        </row>
        <row r="32">
          <cell r="E32"/>
        </row>
        <row r="33">
          <cell r="E33"/>
        </row>
        <row r="34">
          <cell r="E34"/>
        </row>
        <row r="35">
          <cell r="E35"/>
        </row>
        <row r="36">
          <cell r="E36"/>
        </row>
        <row r="37">
          <cell r="E37"/>
        </row>
        <row r="38">
          <cell r="E38"/>
        </row>
        <row r="39">
          <cell r="E39"/>
        </row>
        <row r="40">
          <cell r="E40"/>
        </row>
        <row r="41">
          <cell r="E41"/>
        </row>
        <row r="42">
          <cell r="E42"/>
        </row>
        <row r="43">
          <cell r="E43"/>
        </row>
        <row r="45">
          <cell r="E45"/>
        </row>
        <row r="46">
          <cell r="E46"/>
        </row>
        <row r="47">
          <cell r="E47"/>
        </row>
        <row r="48">
          <cell r="E48"/>
        </row>
        <row r="49">
          <cell r="E49"/>
        </row>
        <row r="50">
          <cell r="E50"/>
        </row>
        <row r="51">
          <cell r="E51"/>
        </row>
        <row r="52">
          <cell r="E52"/>
        </row>
        <row r="53">
          <cell r="E53"/>
        </row>
        <row r="54">
          <cell r="E54"/>
        </row>
        <row r="55">
          <cell r="E55"/>
        </row>
        <row r="56">
          <cell r="E56"/>
        </row>
        <row r="57">
          <cell r="E57"/>
        </row>
        <row r="58">
          <cell r="E58"/>
        </row>
      </sheetData>
      <sheetData sheetId="7">
        <row r="4">
          <cell r="E4"/>
        </row>
        <row r="5">
          <cell r="E5"/>
        </row>
        <row r="7">
          <cell r="E7"/>
        </row>
        <row r="8">
          <cell r="E8"/>
        </row>
        <row r="9">
          <cell r="E9"/>
        </row>
        <row r="10">
          <cell r="E10"/>
        </row>
        <row r="11">
          <cell r="E11"/>
        </row>
        <row r="12">
          <cell r="E12"/>
        </row>
        <row r="13">
          <cell r="E13"/>
        </row>
        <row r="14">
          <cell r="E14"/>
        </row>
        <row r="15">
          <cell r="E15"/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2">
          <cell r="E22"/>
        </row>
        <row r="23">
          <cell r="E23"/>
        </row>
        <row r="24">
          <cell r="E24"/>
        </row>
        <row r="25">
          <cell r="E25"/>
        </row>
        <row r="26">
          <cell r="E26"/>
        </row>
        <row r="27">
          <cell r="E27"/>
        </row>
        <row r="28">
          <cell r="E28"/>
        </row>
        <row r="29">
          <cell r="E29"/>
        </row>
        <row r="30">
          <cell r="E30"/>
        </row>
        <row r="31">
          <cell r="E31"/>
        </row>
        <row r="32">
          <cell r="E32"/>
        </row>
        <row r="33">
          <cell r="E33"/>
        </row>
        <row r="34">
          <cell r="E34"/>
        </row>
        <row r="35">
          <cell r="E35"/>
        </row>
        <row r="36">
          <cell r="E36"/>
        </row>
        <row r="37">
          <cell r="E37"/>
        </row>
        <row r="38">
          <cell r="E38"/>
        </row>
        <row r="39">
          <cell r="E39"/>
        </row>
        <row r="40">
          <cell r="E40"/>
        </row>
        <row r="41">
          <cell r="E41"/>
        </row>
        <row r="42">
          <cell r="E42"/>
        </row>
        <row r="43">
          <cell r="E43"/>
        </row>
        <row r="45">
          <cell r="E45"/>
        </row>
        <row r="46">
          <cell r="E46"/>
        </row>
        <row r="47">
          <cell r="E47"/>
        </row>
        <row r="48">
          <cell r="E48"/>
        </row>
        <row r="49">
          <cell r="E49"/>
        </row>
        <row r="50">
          <cell r="E50"/>
        </row>
        <row r="51">
          <cell r="E51"/>
        </row>
        <row r="52">
          <cell r="E52"/>
        </row>
        <row r="53">
          <cell r="E53"/>
        </row>
        <row r="54">
          <cell r="E54"/>
        </row>
        <row r="55">
          <cell r="E55"/>
        </row>
        <row r="56">
          <cell r="E56"/>
        </row>
        <row r="57">
          <cell r="E57"/>
        </row>
        <row r="58">
          <cell r="E58"/>
        </row>
      </sheetData>
      <sheetData sheetId="8">
        <row r="4">
          <cell r="E4"/>
        </row>
        <row r="5">
          <cell r="E5"/>
        </row>
        <row r="7">
          <cell r="E7"/>
        </row>
        <row r="8">
          <cell r="E8"/>
        </row>
        <row r="9">
          <cell r="E9"/>
        </row>
        <row r="10">
          <cell r="E10"/>
        </row>
        <row r="11">
          <cell r="E11"/>
        </row>
        <row r="12">
          <cell r="E12"/>
        </row>
        <row r="13">
          <cell r="E13"/>
        </row>
        <row r="14">
          <cell r="E14"/>
        </row>
        <row r="15">
          <cell r="E15"/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2">
          <cell r="E22"/>
        </row>
        <row r="23">
          <cell r="E23"/>
        </row>
        <row r="24">
          <cell r="E24"/>
        </row>
        <row r="25">
          <cell r="E25"/>
        </row>
        <row r="26">
          <cell r="E26"/>
        </row>
        <row r="27">
          <cell r="E27"/>
        </row>
        <row r="28">
          <cell r="E28"/>
        </row>
        <row r="29">
          <cell r="E29"/>
        </row>
        <row r="30">
          <cell r="E30"/>
        </row>
        <row r="31">
          <cell r="E31"/>
        </row>
        <row r="32">
          <cell r="E32"/>
        </row>
        <row r="33">
          <cell r="E33"/>
        </row>
        <row r="34">
          <cell r="E34"/>
        </row>
        <row r="35">
          <cell r="E35"/>
        </row>
        <row r="36">
          <cell r="E36"/>
        </row>
        <row r="37">
          <cell r="E37"/>
        </row>
        <row r="38">
          <cell r="E38"/>
        </row>
        <row r="39">
          <cell r="E39"/>
        </row>
        <row r="40">
          <cell r="E40"/>
        </row>
        <row r="41">
          <cell r="E41"/>
        </row>
        <row r="42">
          <cell r="E42"/>
        </row>
        <row r="43">
          <cell r="E43"/>
        </row>
        <row r="45">
          <cell r="E45"/>
        </row>
        <row r="46">
          <cell r="E46"/>
        </row>
        <row r="47">
          <cell r="E47"/>
        </row>
        <row r="48">
          <cell r="E48"/>
        </row>
        <row r="49">
          <cell r="E49"/>
        </row>
        <row r="50">
          <cell r="E50"/>
        </row>
        <row r="51">
          <cell r="E51"/>
        </row>
        <row r="52">
          <cell r="E52"/>
        </row>
        <row r="53">
          <cell r="E53"/>
        </row>
        <row r="54">
          <cell r="E54"/>
        </row>
        <row r="55">
          <cell r="E55"/>
        </row>
        <row r="56">
          <cell r="E56"/>
        </row>
        <row r="58">
          <cell r="E58"/>
        </row>
      </sheetData>
      <sheetData sheetId="9">
        <row r="4">
          <cell r="E4"/>
        </row>
        <row r="5">
          <cell r="E5"/>
        </row>
        <row r="7">
          <cell r="E7"/>
        </row>
        <row r="8">
          <cell r="E8"/>
        </row>
        <row r="9">
          <cell r="E9"/>
        </row>
        <row r="10">
          <cell r="E10"/>
        </row>
        <row r="11">
          <cell r="E11"/>
        </row>
        <row r="12">
          <cell r="E12"/>
        </row>
        <row r="13">
          <cell r="E13"/>
        </row>
        <row r="14">
          <cell r="E14"/>
        </row>
        <row r="15">
          <cell r="E15"/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2">
          <cell r="E22"/>
        </row>
        <row r="23">
          <cell r="E23"/>
        </row>
        <row r="24">
          <cell r="E24"/>
        </row>
        <row r="25">
          <cell r="E25"/>
        </row>
        <row r="26">
          <cell r="E26"/>
        </row>
        <row r="27">
          <cell r="E27"/>
        </row>
        <row r="28">
          <cell r="E28"/>
        </row>
        <row r="29">
          <cell r="E29"/>
        </row>
        <row r="30">
          <cell r="E30"/>
        </row>
        <row r="31">
          <cell r="E31"/>
        </row>
        <row r="32">
          <cell r="E32"/>
        </row>
        <row r="33">
          <cell r="E33"/>
        </row>
        <row r="34">
          <cell r="E34"/>
        </row>
        <row r="35">
          <cell r="E35"/>
        </row>
        <row r="36">
          <cell r="E36"/>
        </row>
        <row r="37">
          <cell r="E37"/>
        </row>
        <row r="38">
          <cell r="E38"/>
        </row>
        <row r="39">
          <cell r="E39"/>
        </row>
        <row r="40">
          <cell r="E40"/>
        </row>
        <row r="41">
          <cell r="E41"/>
        </row>
        <row r="42">
          <cell r="E42"/>
        </row>
        <row r="43">
          <cell r="E43"/>
        </row>
        <row r="45">
          <cell r="E45"/>
        </row>
        <row r="46">
          <cell r="E46"/>
        </row>
        <row r="47">
          <cell r="E47"/>
        </row>
        <row r="48">
          <cell r="E48"/>
        </row>
        <row r="49">
          <cell r="E49"/>
        </row>
        <row r="50">
          <cell r="E50"/>
        </row>
        <row r="51">
          <cell r="E51"/>
        </row>
        <row r="52">
          <cell r="E52"/>
        </row>
        <row r="53">
          <cell r="E53"/>
        </row>
        <row r="54">
          <cell r="E54"/>
        </row>
        <row r="55">
          <cell r="E55"/>
        </row>
        <row r="56">
          <cell r="E56"/>
        </row>
        <row r="58">
          <cell r="E58"/>
        </row>
      </sheetData>
      <sheetData sheetId="10">
        <row r="4">
          <cell r="E4"/>
        </row>
        <row r="5">
          <cell r="E5"/>
        </row>
        <row r="7">
          <cell r="E7"/>
        </row>
        <row r="8">
          <cell r="E8"/>
        </row>
        <row r="9">
          <cell r="E9"/>
        </row>
        <row r="10">
          <cell r="E10"/>
        </row>
        <row r="11">
          <cell r="E11"/>
        </row>
        <row r="12">
          <cell r="E12"/>
        </row>
        <row r="13">
          <cell r="E13"/>
        </row>
        <row r="14">
          <cell r="E14"/>
        </row>
        <row r="15">
          <cell r="E15"/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2">
          <cell r="E22"/>
        </row>
        <row r="23">
          <cell r="E23"/>
        </row>
        <row r="24">
          <cell r="E24"/>
        </row>
        <row r="25">
          <cell r="E25"/>
        </row>
        <row r="26">
          <cell r="E26"/>
        </row>
        <row r="27">
          <cell r="E27"/>
        </row>
        <row r="28">
          <cell r="E28"/>
        </row>
        <row r="29">
          <cell r="E29"/>
        </row>
        <row r="30">
          <cell r="E30"/>
        </row>
        <row r="31">
          <cell r="E31"/>
        </row>
        <row r="32">
          <cell r="E32"/>
        </row>
        <row r="33">
          <cell r="E33"/>
        </row>
        <row r="34">
          <cell r="E34"/>
        </row>
        <row r="35">
          <cell r="E35"/>
        </row>
        <row r="36">
          <cell r="E36"/>
        </row>
        <row r="37">
          <cell r="E37"/>
        </row>
        <row r="38">
          <cell r="E38"/>
        </row>
        <row r="39">
          <cell r="E39"/>
        </row>
        <row r="40">
          <cell r="E40"/>
        </row>
        <row r="41">
          <cell r="E41"/>
        </row>
        <row r="42">
          <cell r="E42"/>
        </row>
        <row r="43">
          <cell r="E43"/>
        </row>
        <row r="45">
          <cell r="E45"/>
        </row>
        <row r="46">
          <cell r="E46"/>
        </row>
        <row r="47">
          <cell r="E47"/>
        </row>
        <row r="48">
          <cell r="E48"/>
        </row>
        <row r="49">
          <cell r="E49"/>
        </row>
        <row r="50">
          <cell r="E50"/>
        </row>
        <row r="51">
          <cell r="E51"/>
        </row>
        <row r="52">
          <cell r="E52"/>
        </row>
        <row r="53">
          <cell r="E53"/>
        </row>
        <row r="54">
          <cell r="E54"/>
        </row>
        <row r="55">
          <cell r="E55"/>
        </row>
        <row r="56">
          <cell r="E56"/>
        </row>
        <row r="58">
          <cell r="E58"/>
        </row>
      </sheetData>
      <sheetData sheetId="11">
        <row r="4">
          <cell r="E4"/>
        </row>
        <row r="5">
          <cell r="E5"/>
        </row>
        <row r="7">
          <cell r="E7"/>
        </row>
        <row r="8">
          <cell r="E8"/>
        </row>
        <row r="9">
          <cell r="E9"/>
        </row>
        <row r="10">
          <cell r="E10"/>
        </row>
        <row r="11">
          <cell r="E11"/>
        </row>
        <row r="12">
          <cell r="E12"/>
        </row>
        <row r="13">
          <cell r="E13"/>
        </row>
        <row r="14">
          <cell r="E14"/>
        </row>
        <row r="15">
          <cell r="E15"/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2">
          <cell r="E22"/>
        </row>
        <row r="23">
          <cell r="E23"/>
        </row>
        <row r="24">
          <cell r="E24"/>
        </row>
        <row r="25">
          <cell r="E25"/>
        </row>
        <row r="26">
          <cell r="E26"/>
        </row>
        <row r="27">
          <cell r="E27"/>
        </row>
        <row r="28">
          <cell r="E28"/>
        </row>
        <row r="29">
          <cell r="E29"/>
        </row>
        <row r="30">
          <cell r="E30"/>
        </row>
        <row r="31">
          <cell r="E31"/>
        </row>
        <row r="32">
          <cell r="E32"/>
        </row>
        <row r="33">
          <cell r="E33"/>
        </row>
        <row r="34">
          <cell r="E34"/>
        </row>
        <row r="35">
          <cell r="E35"/>
        </row>
        <row r="36">
          <cell r="E36"/>
        </row>
        <row r="37">
          <cell r="E37"/>
        </row>
        <row r="38">
          <cell r="E38"/>
        </row>
        <row r="39">
          <cell r="E39"/>
        </row>
        <row r="40">
          <cell r="E40"/>
        </row>
        <row r="41">
          <cell r="E41"/>
        </row>
        <row r="42">
          <cell r="E42"/>
        </row>
        <row r="43">
          <cell r="E43"/>
        </row>
        <row r="45">
          <cell r="E45"/>
        </row>
        <row r="46">
          <cell r="E46"/>
        </row>
        <row r="47">
          <cell r="E47"/>
        </row>
        <row r="48">
          <cell r="E48"/>
        </row>
        <row r="49">
          <cell r="E49"/>
        </row>
        <row r="50">
          <cell r="E50"/>
        </row>
        <row r="51">
          <cell r="E51"/>
        </row>
        <row r="52">
          <cell r="E52"/>
        </row>
        <row r="53">
          <cell r="E53"/>
        </row>
        <row r="54">
          <cell r="E54"/>
        </row>
        <row r="55">
          <cell r="E55"/>
        </row>
        <row r="56">
          <cell r="E56"/>
        </row>
        <row r="58">
          <cell r="E58"/>
        </row>
      </sheetData>
      <sheetData sheetId="12">
        <row r="4">
          <cell r="E4"/>
        </row>
        <row r="5">
          <cell r="E5"/>
        </row>
        <row r="7">
          <cell r="E7"/>
        </row>
        <row r="8">
          <cell r="E8"/>
        </row>
        <row r="9">
          <cell r="E9"/>
        </row>
        <row r="10">
          <cell r="E10"/>
        </row>
        <row r="11">
          <cell r="E11"/>
        </row>
        <row r="12">
          <cell r="E12"/>
        </row>
        <row r="13">
          <cell r="E13"/>
        </row>
        <row r="14">
          <cell r="E14"/>
        </row>
        <row r="15">
          <cell r="E15"/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2">
          <cell r="E22"/>
        </row>
        <row r="23">
          <cell r="E23"/>
        </row>
        <row r="24">
          <cell r="E24"/>
        </row>
        <row r="25">
          <cell r="E25"/>
        </row>
        <row r="26">
          <cell r="E26"/>
        </row>
        <row r="27">
          <cell r="E27"/>
        </row>
        <row r="28">
          <cell r="E28"/>
        </row>
        <row r="29">
          <cell r="E29"/>
        </row>
        <row r="30">
          <cell r="E30"/>
        </row>
        <row r="31">
          <cell r="E31"/>
        </row>
        <row r="32">
          <cell r="E32"/>
        </row>
        <row r="33">
          <cell r="E33"/>
        </row>
        <row r="34">
          <cell r="E34"/>
        </row>
        <row r="35">
          <cell r="E35"/>
        </row>
        <row r="36">
          <cell r="E36"/>
        </row>
        <row r="37">
          <cell r="E37"/>
        </row>
        <row r="38">
          <cell r="E38"/>
        </row>
        <row r="39">
          <cell r="E39"/>
        </row>
        <row r="40">
          <cell r="E40"/>
        </row>
        <row r="41">
          <cell r="E41"/>
        </row>
        <row r="42">
          <cell r="E42"/>
        </row>
        <row r="43">
          <cell r="E43"/>
        </row>
        <row r="45">
          <cell r="E45"/>
        </row>
        <row r="46">
          <cell r="E46"/>
        </row>
        <row r="47">
          <cell r="E47"/>
        </row>
        <row r="48">
          <cell r="E48"/>
        </row>
        <row r="49">
          <cell r="E49"/>
        </row>
        <row r="50">
          <cell r="E50"/>
        </row>
        <row r="51">
          <cell r="E51"/>
        </row>
        <row r="52">
          <cell r="E52"/>
        </row>
        <row r="53">
          <cell r="E53"/>
        </row>
        <row r="54">
          <cell r="E54"/>
        </row>
        <row r="55">
          <cell r="E55"/>
        </row>
        <row r="56">
          <cell r="E56"/>
        </row>
        <row r="58">
          <cell r="E58"/>
        </row>
      </sheetData>
      <sheetData sheetId="13">
        <row r="4">
          <cell r="E4"/>
        </row>
        <row r="5">
          <cell r="E5"/>
        </row>
        <row r="7">
          <cell r="E7"/>
        </row>
        <row r="8">
          <cell r="E8"/>
        </row>
        <row r="9">
          <cell r="E9"/>
        </row>
        <row r="10">
          <cell r="E10"/>
        </row>
        <row r="11">
          <cell r="E11"/>
        </row>
        <row r="12">
          <cell r="E12"/>
        </row>
        <row r="13">
          <cell r="E13"/>
        </row>
        <row r="14">
          <cell r="E14"/>
        </row>
        <row r="15">
          <cell r="E15"/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2">
          <cell r="E22"/>
        </row>
        <row r="23">
          <cell r="E23"/>
        </row>
        <row r="24">
          <cell r="E24"/>
        </row>
        <row r="25">
          <cell r="E25"/>
        </row>
        <row r="26">
          <cell r="E26"/>
        </row>
        <row r="27">
          <cell r="E27"/>
        </row>
        <row r="28">
          <cell r="E28"/>
        </row>
        <row r="29">
          <cell r="E29"/>
        </row>
        <row r="30">
          <cell r="E30"/>
        </row>
        <row r="31">
          <cell r="E31"/>
        </row>
        <row r="32">
          <cell r="E32"/>
        </row>
        <row r="33">
          <cell r="E33"/>
        </row>
        <row r="34">
          <cell r="E34"/>
        </row>
        <row r="35">
          <cell r="E35"/>
        </row>
        <row r="36">
          <cell r="E36"/>
        </row>
        <row r="37">
          <cell r="E37"/>
        </row>
        <row r="38">
          <cell r="E38"/>
        </row>
        <row r="39">
          <cell r="E39"/>
        </row>
        <row r="40">
          <cell r="E40"/>
        </row>
        <row r="41">
          <cell r="E41"/>
        </row>
        <row r="42">
          <cell r="E42"/>
        </row>
        <row r="43">
          <cell r="E43"/>
        </row>
        <row r="45">
          <cell r="E45"/>
        </row>
        <row r="46">
          <cell r="E46"/>
        </row>
        <row r="47">
          <cell r="E47"/>
        </row>
        <row r="48">
          <cell r="E48"/>
        </row>
        <row r="49">
          <cell r="E49"/>
        </row>
        <row r="50">
          <cell r="E50"/>
        </row>
        <row r="51">
          <cell r="E51"/>
        </row>
        <row r="52">
          <cell r="E52"/>
        </row>
        <row r="53">
          <cell r="E53"/>
        </row>
        <row r="54">
          <cell r="E54"/>
        </row>
        <row r="55">
          <cell r="E55"/>
        </row>
        <row r="56">
          <cell r="E56"/>
        </row>
        <row r="58">
          <cell r="E58"/>
        </row>
      </sheetData>
      <sheetData sheetId="14">
        <row r="4">
          <cell r="E4"/>
        </row>
        <row r="5">
          <cell r="E5"/>
        </row>
        <row r="7">
          <cell r="E7"/>
        </row>
        <row r="8">
          <cell r="E8"/>
        </row>
        <row r="9">
          <cell r="E9"/>
        </row>
        <row r="10">
          <cell r="E10"/>
        </row>
        <row r="11">
          <cell r="E11"/>
        </row>
        <row r="12">
          <cell r="E12"/>
        </row>
        <row r="13">
          <cell r="E13"/>
        </row>
        <row r="14">
          <cell r="E14"/>
        </row>
        <row r="15">
          <cell r="E15"/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2">
          <cell r="E22"/>
        </row>
        <row r="23">
          <cell r="E23"/>
        </row>
        <row r="24">
          <cell r="E24"/>
        </row>
        <row r="25">
          <cell r="E25"/>
        </row>
        <row r="26">
          <cell r="E26"/>
        </row>
        <row r="27">
          <cell r="E27"/>
        </row>
        <row r="28">
          <cell r="E28"/>
        </row>
        <row r="29">
          <cell r="E29"/>
        </row>
        <row r="30">
          <cell r="E30"/>
        </row>
        <row r="31">
          <cell r="E31"/>
        </row>
        <row r="32">
          <cell r="E32"/>
        </row>
        <row r="33">
          <cell r="E33"/>
        </row>
        <row r="34">
          <cell r="E34"/>
        </row>
        <row r="35">
          <cell r="E35"/>
        </row>
        <row r="36">
          <cell r="E36"/>
        </row>
        <row r="37">
          <cell r="E37"/>
        </row>
        <row r="38">
          <cell r="E38"/>
        </row>
        <row r="39">
          <cell r="E39"/>
        </row>
        <row r="40">
          <cell r="E40"/>
        </row>
        <row r="41">
          <cell r="E41"/>
        </row>
        <row r="42">
          <cell r="E42"/>
        </row>
        <row r="43">
          <cell r="E43"/>
        </row>
        <row r="45">
          <cell r="E45"/>
        </row>
        <row r="46">
          <cell r="E46"/>
        </row>
        <row r="47">
          <cell r="E47"/>
        </row>
        <row r="48">
          <cell r="E48"/>
        </row>
        <row r="49">
          <cell r="E49"/>
        </row>
        <row r="50">
          <cell r="E50"/>
        </row>
        <row r="51">
          <cell r="E51"/>
        </row>
        <row r="52">
          <cell r="E52"/>
        </row>
        <row r="53">
          <cell r="E53"/>
        </row>
        <row r="54">
          <cell r="E54"/>
        </row>
        <row r="55">
          <cell r="E55"/>
        </row>
        <row r="56">
          <cell r="E56"/>
        </row>
        <row r="58">
          <cell r="E58"/>
        </row>
      </sheetData>
      <sheetData sheetId="15">
        <row r="4">
          <cell r="E4"/>
        </row>
        <row r="5">
          <cell r="E5"/>
        </row>
        <row r="7">
          <cell r="E7"/>
        </row>
        <row r="8">
          <cell r="E8"/>
        </row>
        <row r="9">
          <cell r="E9"/>
        </row>
        <row r="10">
          <cell r="E10"/>
        </row>
        <row r="11">
          <cell r="E11"/>
        </row>
        <row r="12">
          <cell r="E12"/>
        </row>
        <row r="13">
          <cell r="E13"/>
        </row>
        <row r="14">
          <cell r="E14"/>
        </row>
        <row r="15">
          <cell r="E15"/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2">
          <cell r="E22"/>
        </row>
        <row r="23">
          <cell r="E23"/>
        </row>
        <row r="24">
          <cell r="E24"/>
        </row>
        <row r="25">
          <cell r="E25"/>
        </row>
        <row r="26">
          <cell r="E26"/>
        </row>
        <row r="27">
          <cell r="E27"/>
        </row>
        <row r="28">
          <cell r="E28"/>
        </row>
        <row r="29">
          <cell r="E29"/>
        </row>
        <row r="30">
          <cell r="E30"/>
        </row>
        <row r="31">
          <cell r="E31"/>
        </row>
        <row r="32">
          <cell r="E32"/>
        </row>
        <row r="33">
          <cell r="E33"/>
        </row>
        <row r="34">
          <cell r="E34"/>
        </row>
        <row r="35">
          <cell r="E35"/>
        </row>
        <row r="36">
          <cell r="E36"/>
        </row>
        <row r="37">
          <cell r="E37"/>
        </row>
        <row r="38">
          <cell r="E38"/>
        </row>
        <row r="39">
          <cell r="E39"/>
        </row>
        <row r="40">
          <cell r="E40"/>
        </row>
        <row r="41">
          <cell r="E41"/>
        </row>
        <row r="42">
          <cell r="E42"/>
        </row>
        <row r="43">
          <cell r="E43"/>
        </row>
        <row r="45">
          <cell r="E45"/>
        </row>
        <row r="46">
          <cell r="E46"/>
        </row>
        <row r="47">
          <cell r="E47"/>
        </row>
        <row r="48">
          <cell r="E48"/>
        </row>
        <row r="49">
          <cell r="E49"/>
        </row>
        <row r="50">
          <cell r="E50"/>
        </row>
        <row r="51">
          <cell r="E51"/>
        </row>
        <row r="52">
          <cell r="E52"/>
        </row>
        <row r="53">
          <cell r="E53"/>
        </row>
        <row r="54">
          <cell r="E54"/>
        </row>
        <row r="55">
          <cell r="E55"/>
        </row>
        <row r="56">
          <cell r="E56"/>
        </row>
        <row r="58">
          <cell r="E58"/>
        </row>
      </sheetData>
      <sheetData sheetId="16">
        <row r="4">
          <cell r="E4"/>
        </row>
        <row r="5">
          <cell r="E5"/>
        </row>
        <row r="7">
          <cell r="E7"/>
        </row>
        <row r="8">
          <cell r="E8"/>
        </row>
        <row r="9">
          <cell r="E9"/>
        </row>
        <row r="10">
          <cell r="E10"/>
        </row>
        <row r="11">
          <cell r="E11"/>
        </row>
        <row r="12">
          <cell r="E12"/>
        </row>
        <row r="13">
          <cell r="E13"/>
        </row>
        <row r="14">
          <cell r="E14"/>
        </row>
        <row r="15">
          <cell r="E15"/>
        </row>
        <row r="16">
          <cell r="E16"/>
        </row>
        <row r="17">
          <cell r="E17"/>
        </row>
        <row r="18">
          <cell r="E18"/>
        </row>
        <row r="19">
          <cell r="E19"/>
        </row>
        <row r="20">
          <cell r="E20"/>
        </row>
        <row r="22">
          <cell r="E22"/>
        </row>
        <row r="23">
          <cell r="E23"/>
        </row>
        <row r="24">
          <cell r="E24"/>
        </row>
        <row r="25">
          <cell r="E25"/>
        </row>
        <row r="26">
          <cell r="E26"/>
        </row>
        <row r="27">
          <cell r="E27"/>
        </row>
        <row r="28">
          <cell r="E28"/>
        </row>
        <row r="29">
          <cell r="E29"/>
        </row>
        <row r="30">
          <cell r="E30"/>
        </row>
        <row r="31">
          <cell r="E31"/>
        </row>
        <row r="32">
          <cell r="E32"/>
        </row>
        <row r="33">
          <cell r="E33"/>
        </row>
        <row r="34">
          <cell r="E34"/>
        </row>
        <row r="35">
          <cell r="E35"/>
        </row>
        <row r="36">
          <cell r="E36"/>
        </row>
        <row r="37">
          <cell r="E37"/>
        </row>
        <row r="38">
          <cell r="E38"/>
        </row>
        <row r="39">
          <cell r="E39"/>
        </row>
        <row r="40">
          <cell r="E40"/>
        </row>
        <row r="41">
          <cell r="E41"/>
        </row>
        <row r="42">
          <cell r="E42"/>
        </row>
        <row r="43">
          <cell r="E43"/>
        </row>
        <row r="45">
          <cell r="E45"/>
        </row>
        <row r="46">
          <cell r="E46"/>
        </row>
        <row r="47">
          <cell r="E47"/>
        </row>
        <row r="48">
          <cell r="E48"/>
        </row>
        <row r="49">
          <cell r="E49"/>
        </row>
        <row r="50">
          <cell r="E50"/>
        </row>
        <row r="51">
          <cell r="E51"/>
        </row>
        <row r="52">
          <cell r="E52"/>
        </row>
        <row r="53">
          <cell r="E53"/>
        </row>
        <row r="54">
          <cell r="E54"/>
        </row>
        <row r="55">
          <cell r="E55"/>
        </row>
        <row r="56">
          <cell r="E56"/>
        </row>
        <row r="58">
          <cell r="E58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tabSelected="1" zoomScale="70" zoomScaleNormal="70" workbookViewId="0">
      <selection activeCell="C3" sqref="C3"/>
    </sheetView>
  </sheetViews>
  <sheetFormatPr baseColWidth="10" defaultRowHeight="12.75" x14ac:dyDescent="0.2"/>
  <cols>
    <col min="1" max="1" width="4.5703125" customWidth="1"/>
    <col min="2" max="2" width="24.140625" customWidth="1"/>
    <col min="3" max="3" width="8.42578125" style="4" customWidth="1"/>
    <col min="4" max="18" width="5.85546875" style="4" customWidth="1"/>
    <col min="19" max="19" width="7.42578125" style="4" customWidth="1"/>
    <col min="20" max="21" width="7.85546875" style="4" customWidth="1"/>
    <col min="22" max="22" width="10.140625" style="7" customWidth="1"/>
    <col min="23" max="23" width="5.140625" style="4" customWidth="1"/>
    <col min="24" max="24" width="5.85546875" style="4" customWidth="1"/>
    <col min="25" max="25" width="9.85546875" customWidth="1"/>
    <col min="26" max="26" width="14.140625" customWidth="1"/>
    <col min="27" max="27" width="14.42578125" customWidth="1"/>
    <col min="28" max="28" width="12.5703125" style="200" customWidth="1"/>
    <col min="29" max="29" width="11.140625" style="200" customWidth="1"/>
    <col min="30" max="30" width="14.42578125" customWidth="1"/>
    <col min="31" max="31" width="10.42578125" customWidth="1"/>
  </cols>
  <sheetData>
    <row r="1" spans="1:33" ht="21.95" customHeight="1" thickBot="1" x14ac:dyDescent="0.25">
      <c r="A1" s="1" t="s">
        <v>0</v>
      </c>
      <c r="C1" s="213"/>
      <c r="D1" s="214"/>
      <c r="E1" s="215"/>
      <c r="F1" s="2"/>
      <c r="G1" s="2"/>
      <c r="H1" s="2"/>
      <c r="I1" s="2"/>
      <c r="J1" s="2"/>
      <c r="K1" s="3"/>
      <c r="L1" s="3"/>
      <c r="R1" s="5" t="s">
        <v>1</v>
      </c>
      <c r="S1" s="6"/>
      <c r="Y1" s="5" t="s">
        <v>2</v>
      </c>
      <c r="Z1" s="216"/>
      <c r="AA1" s="217"/>
      <c r="AB1" s="217"/>
      <c r="AC1" s="217"/>
      <c r="AD1" s="217"/>
      <c r="AE1" s="218"/>
    </row>
    <row r="2" spans="1:33" ht="20.100000000000001" customHeight="1" thickBot="1" x14ac:dyDescent="0.3">
      <c r="A2" s="8" t="s">
        <v>3</v>
      </c>
      <c r="F2" s="9"/>
      <c r="G2" s="9"/>
      <c r="K2" s="9"/>
      <c r="L2" s="9"/>
      <c r="O2" s="10" t="s">
        <v>4</v>
      </c>
      <c r="U2" s="11" t="s">
        <v>5</v>
      </c>
      <c r="V2" s="12">
        <f>IF(S1&gt;900,ROUNDUP(11+(S1-900)/300,0),IF(S1&gt;600,11,IF(S1&gt;200,ROUNDUP((S1-200)/100,0)+6,IF(S1&gt;150,6,IF(S1&gt;100,5,IF(S1&gt;60,4,IF(S1&gt;30,3,2)))))))</f>
        <v>2</v>
      </c>
      <c r="Z2" s="219" t="s">
        <v>6</v>
      </c>
      <c r="AA2" s="220"/>
      <c r="AB2" s="221" t="s">
        <v>7</v>
      </c>
      <c r="AC2" s="222"/>
      <c r="AD2" s="223" t="s">
        <v>8</v>
      </c>
      <c r="AE2" s="222"/>
    </row>
    <row r="3" spans="1:33" ht="29.45" customHeight="1" thickBot="1" x14ac:dyDescent="0.3">
      <c r="A3" s="201" t="s">
        <v>9</v>
      </c>
      <c r="B3" s="202"/>
      <c r="C3" s="13" t="s">
        <v>163</v>
      </c>
      <c r="D3" s="14" t="s">
        <v>10</v>
      </c>
      <c r="E3" s="15"/>
      <c r="F3" s="15"/>
      <c r="G3" s="15"/>
      <c r="H3" s="16"/>
      <c r="I3" s="15"/>
      <c r="J3" s="15"/>
      <c r="K3" s="15"/>
      <c r="L3" s="15"/>
      <c r="M3" s="16"/>
      <c r="N3" s="15"/>
      <c r="O3" s="15"/>
      <c r="P3" s="15"/>
      <c r="Q3" s="15"/>
      <c r="R3" s="17"/>
      <c r="S3" s="15"/>
      <c r="T3" s="203" t="s">
        <v>11</v>
      </c>
      <c r="U3" s="204"/>
      <c r="V3" s="204"/>
      <c r="W3" s="205" t="s">
        <v>12</v>
      </c>
      <c r="X3" s="208" t="s">
        <v>13</v>
      </c>
      <c r="Y3" s="211" t="s">
        <v>14</v>
      </c>
      <c r="Z3" s="243" t="s">
        <v>15</v>
      </c>
      <c r="AA3" s="245" t="s">
        <v>16</v>
      </c>
      <c r="AB3" s="247" t="s">
        <v>17</v>
      </c>
      <c r="AC3" s="247"/>
      <c r="AD3" s="247"/>
      <c r="AE3" s="247"/>
    </row>
    <row r="4" spans="1:33" ht="19.5" customHeight="1" thickBot="1" x14ac:dyDescent="0.25">
      <c r="A4" s="18"/>
      <c r="B4" s="234" t="s">
        <v>18</v>
      </c>
      <c r="C4" s="234"/>
      <c r="D4" s="235" t="s">
        <v>19</v>
      </c>
      <c r="E4" s="228" t="s">
        <v>20</v>
      </c>
      <c r="F4" s="228" t="s">
        <v>21</v>
      </c>
      <c r="G4" s="228" t="s">
        <v>22</v>
      </c>
      <c r="H4" s="228" t="s">
        <v>23</v>
      </c>
      <c r="I4" s="228" t="s">
        <v>24</v>
      </c>
      <c r="J4" s="228" t="s">
        <v>25</v>
      </c>
      <c r="K4" s="228" t="s">
        <v>26</v>
      </c>
      <c r="L4" s="228" t="s">
        <v>27</v>
      </c>
      <c r="M4" s="228" t="s">
        <v>28</v>
      </c>
      <c r="N4" s="228" t="s">
        <v>29</v>
      </c>
      <c r="O4" s="228" t="s">
        <v>30</v>
      </c>
      <c r="P4" s="228" t="s">
        <v>31</v>
      </c>
      <c r="Q4" s="228" t="s">
        <v>32</v>
      </c>
      <c r="R4" s="232" t="s">
        <v>33</v>
      </c>
      <c r="S4" s="224" t="s">
        <v>34</v>
      </c>
      <c r="T4" s="224" t="s">
        <v>35</v>
      </c>
      <c r="U4" s="226" t="s">
        <v>36</v>
      </c>
      <c r="V4" s="237" t="s">
        <v>37</v>
      </c>
      <c r="W4" s="206"/>
      <c r="X4" s="209"/>
      <c r="Y4" s="212"/>
      <c r="Z4" s="244"/>
      <c r="AA4" s="246"/>
      <c r="AB4" s="239" t="s">
        <v>38</v>
      </c>
      <c r="AC4" s="241" t="s">
        <v>39</v>
      </c>
      <c r="AD4" s="239" t="s">
        <v>40</v>
      </c>
      <c r="AE4" s="241" t="s">
        <v>41</v>
      </c>
    </row>
    <row r="5" spans="1:33" ht="12.75" customHeight="1" x14ac:dyDescent="0.2">
      <c r="A5" s="19" t="s">
        <v>42</v>
      </c>
      <c r="B5" s="20" t="s">
        <v>43</v>
      </c>
      <c r="C5" s="230" t="s">
        <v>44</v>
      </c>
      <c r="D5" s="236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33"/>
      <c r="S5" s="225"/>
      <c r="T5" s="225"/>
      <c r="U5" s="227"/>
      <c r="V5" s="238"/>
      <c r="W5" s="206"/>
      <c r="X5" s="209"/>
      <c r="Y5" s="212"/>
      <c r="Z5" s="244"/>
      <c r="AA5" s="246"/>
      <c r="AB5" s="239"/>
      <c r="AC5" s="241"/>
      <c r="AD5" s="239"/>
      <c r="AE5" s="241"/>
      <c r="AG5" s="21"/>
    </row>
    <row r="6" spans="1:33" ht="13.5" customHeight="1" thickBot="1" x14ac:dyDescent="0.25">
      <c r="A6" s="22">
        <v>1</v>
      </c>
      <c r="B6" s="23" t="s">
        <v>45</v>
      </c>
      <c r="C6" s="231"/>
      <c r="D6" s="236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3"/>
      <c r="S6" s="225"/>
      <c r="T6" s="225"/>
      <c r="U6" s="227"/>
      <c r="V6" s="238"/>
      <c r="W6" s="207"/>
      <c r="X6" s="210"/>
      <c r="Y6" s="24" t="s">
        <v>46</v>
      </c>
      <c r="Z6" s="244"/>
      <c r="AA6" s="246"/>
      <c r="AB6" s="240"/>
      <c r="AC6" s="242"/>
      <c r="AD6" s="240"/>
      <c r="AE6" s="242"/>
    </row>
    <row r="7" spans="1:33" ht="14.1" customHeight="1" x14ac:dyDescent="0.2">
      <c r="A7" s="25" t="s">
        <v>47</v>
      </c>
      <c r="B7" s="26" t="s">
        <v>48</v>
      </c>
      <c r="C7" s="27" t="s">
        <v>49</v>
      </c>
      <c r="D7" s="28"/>
      <c r="E7" s="29" t="str">
        <f>IF('[1]U-MP2'!E4="","",(--SUBSTITUTE(('[1]U-MP2'!E4),"&lt;","")))</f>
        <v/>
      </c>
      <c r="F7" s="29" t="str">
        <f>IF('[1]U-MP3'!E4="","",(--SUBSTITUTE(('[1]U-MP3'!E4),"&lt;","")))</f>
        <v/>
      </c>
      <c r="G7" s="29" t="str">
        <f>IF('[1]U-MP4'!E4="","",(--SUBSTITUTE(('[1]U-MP4'!E4),"&lt;","")))</f>
        <v/>
      </c>
      <c r="H7" s="29" t="str">
        <f>IF('[1]U-MP5'!E4="","",(--SUBSTITUTE(('[1]U-MP5'!E4),"&lt;","")))</f>
        <v/>
      </c>
      <c r="I7" s="29" t="str">
        <f>IF('[1]U-MP6'!E4="","",(--SUBSTITUTE(('[1]U-MP6'!E4),"&lt;","")))</f>
        <v/>
      </c>
      <c r="J7" s="29" t="str">
        <f>IF('[1]U-MP7'!E4="","",(--SUBSTITUTE(('[1]U-MP7'!E4),"&lt;","")))</f>
        <v/>
      </c>
      <c r="K7" s="29" t="str">
        <f>IF('[1]U-MP8'!E4="","",(--SUBSTITUTE(('[1]U-MP8'!E4),"&lt;","")))</f>
        <v/>
      </c>
      <c r="L7" s="29" t="str">
        <f>IF('[1]U-MP9'!E4="","",(--SUBSTITUTE(('[1]U-MP9'!E4),"&lt;","")))</f>
        <v/>
      </c>
      <c r="M7" s="29" t="str">
        <f>IF('[1]U-MP10'!E4="","",(--SUBSTITUTE(('[1]U-MP10'!E4),"&lt;","")))</f>
        <v/>
      </c>
      <c r="N7" s="29" t="str">
        <f>IF('[1]U-MP11'!E4="","",(--SUBSTITUTE(('[1]U-MP11'!E4),"&lt;","")))</f>
        <v/>
      </c>
      <c r="O7" s="29" t="str">
        <f>IF('[1]U-MP12'!E4="","",(--SUBSTITUTE(('[1]U-MP12'!E4),"&lt;","")))</f>
        <v/>
      </c>
      <c r="P7" s="29" t="str">
        <f>IF('[1]U-MP13'!E4="","",(--SUBSTITUTE(('[1]U-MP13'!E4),"&lt;","")))</f>
        <v/>
      </c>
      <c r="Q7" s="29" t="str">
        <f>IF('[1]U-MP14'!E4="","",(--SUBSTITUTE(('[1]U-MP14'!E4),"&lt;","")))</f>
        <v/>
      </c>
      <c r="R7" s="30" t="str">
        <f>IF('[1]U-MP15'!E4="","",(--SUBSTITUTE(('[1]U-MP15'!E4),"&lt;","")))</f>
        <v/>
      </c>
      <c r="S7" s="31" t="str">
        <f>IF(COUNTBLANK(D7:R7)&lt;15,COUNT(D7:R7),"-")</f>
        <v>-</v>
      </c>
      <c r="T7" s="32" t="str">
        <f>IF(COUNTBLANK(D7:R7)&gt;14,"",IF(SUM(D7:R7)=0,"---",AVERAGE(D7:R7)))</f>
        <v/>
      </c>
      <c r="U7" s="33" t="str">
        <f>IF(COUNTBLANK(D7:R7)&gt;14,"",IF(COUNT(D7:R7)&lt;2,"---",STDEV(D7:R7)))</f>
        <v/>
      </c>
      <c r="V7" s="34" t="str">
        <f>IF(COUNTBLANK(D7:R7)&gt;14,"",IF(COUNTBLANK(D7:R7)=14,"ein Messwert",IF(ISTEXT(Y7),"kein ZW",IF(SUM(D7:R7)=0,"---",IF(MAX(D7:R7)&lt;(0.5*Y7),"&lt; 50% ZW",IF(MAX(D7:R7)&gt;2*MIN(D7:R7),"inhomogen","homogen"))))))</f>
        <v/>
      </c>
      <c r="W7" s="35" t="str">
        <f>IF(S7&gt;=$V$2,"", IF(COUNTBLANK(D7:R7)=14,"n.z.","X"))</f>
        <v/>
      </c>
      <c r="X7" s="35" t="str">
        <f>IF(OR(W7="",V7="kein ZW"),"-",IF(COUNTBLANK(D7:R7)=14,"NEIN",IF(AND(V7="inhomogen",S7&lt;$V$2),"NEIN",IF(AND($S$1&gt;500,S7&lt;2+(ROUNDUP(($S$1-500)/300,0))),"NEIN-U","JA"))))</f>
        <v>-</v>
      </c>
      <c r="Y7" s="36">
        <f>IF(OR($C$3="",$C$3="Z0* IIIA",$C$3="Z0*",$C$3="Z1.1",$C$3="Z1.2",$C$3="Z2"),"",IF(AND($O$2="Ja",OR($C$3="DK-0,5",$C$3="Reku Spalte 9",$C$3="DK 0",$C$3="DK I")),5,IF($C$3=0,3,IF($C$3="DK I",3,IF($C$3="DK II",5,IF($C$3="DK III",10,3))))))</f>
        <v>5</v>
      </c>
      <c r="Z7" s="37" t="str">
        <f>IF(OR(D7="",W7="n.z.",X7="NEIN",Y7="manuell"),"-",IF(Y7="",MAX(D7:R7),IF(ROUND(MAX(D7:R7),0)&gt;Y7,"Überschreitung",IF(V7="---","Messwerte = 0",IF(MAX(D7:R7)&lt;=(0.5*Y7),0.5*Y7,IF(MAX(D7:R7)&lt;=Y7,ROUND(MAX(D7:R7),0),Y7))))))</f>
        <v>-</v>
      </c>
      <c r="AA7" s="37" t="str">
        <f>IF(AND(ISNUMBER(Z7),OR(V7="homogen",V7="&lt; 50% ZW",AND(V7="inhomogen",S7&gt;=$V$2))),"JA",IF(OR(Z7="-",Z7="Messwerte = 0"),"-",(IF(V7="kein ZW","kein ZW","NEIN"))))</f>
        <v>-</v>
      </c>
      <c r="AB7" s="38" t="str">
        <f>IF(OR(COUNTBLANK(D7:R7)&gt;=14,AA7="JA",AA7="kein ZW",X7="NEIN",Y7="manuell"),"",IF(AND(AA7="NEIN",W7="X"),"n.z.",IF(COUNTIF(D7:R7,"&gt;"&amp;(Y7+0.4999))&gt;(COUNT(D7:R7)*0.2),"NEIN",IF(ROUND(AVERAGE(D7:R7),0)&lt;=Y7,"JA","NEIN"))))</f>
        <v/>
      </c>
      <c r="AC7" s="39" t="str">
        <f>IF(AND(AB7="JA",S7&lt;10),ROUND(LARGE(D7:R7,2),0),IF(AND(AB7="JA",S7&gt;9,S7&lt;15),ROUND(LARGE(D7:R7,3),0),IF(AND(AB7="JA",S7=15),ROUND(LARGE(D7:R7,4),0),"-")))</f>
        <v>-</v>
      </c>
      <c r="AD7" s="39" t="str">
        <f>IF(OR(COUNTBLANK(D7:R7)&gt;=14,AA7="JA",AB7="JA",AA7="kein ZW",X7="NEIN",Y7="manuell"),"",IF(AB7="n.z.","n.z.",IF(ROUND((AVERAGE(D7:R7))+1.65*STDEV(D7:R7)/(SQRT(COUNT(D7:R7))),0)&lt;=Y7,"JA","NEIN")))</f>
        <v/>
      </c>
      <c r="AE7" s="40" t="str">
        <f>IF(AD7="JA",ROUND((AVERAGE(D7:R7))+1.65*STDEV(D7:R7)/(SQRT(COUNT(D7:R7))),0),"-")</f>
        <v>-</v>
      </c>
    </row>
    <row r="8" spans="1:33" ht="14.45" customHeight="1" thickBot="1" x14ac:dyDescent="0.25">
      <c r="A8" s="41" t="s">
        <v>50</v>
      </c>
      <c r="B8" s="42" t="s">
        <v>51</v>
      </c>
      <c r="C8" s="43" t="s">
        <v>49</v>
      </c>
      <c r="D8" s="44"/>
      <c r="E8" s="45" t="str">
        <f>IF('[1]U-MP2'!E5="","",(--SUBSTITUTE(('[1]U-MP2'!E5),"&lt;","")))</f>
        <v/>
      </c>
      <c r="F8" s="45" t="str">
        <f>IF('[1]U-MP3'!E5="","",(--SUBSTITUTE(('[1]U-MP3'!E5),"&lt;","")))</f>
        <v/>
      </c>
      <c r="G8" s="45" t="str">
        <f>IF('[1]U-MP4'!E5="","",(--SUBSTITUTE(('[1]U-MP4'!E5),"&lt;","")))</f>
        <v/>
      </c>
      <c r="H8" s="45" t="str">
        <f>IF('[1]U-MP5'!E5="","",(--SUBSTITUTE(('[1]U-MP5'!E5),"&lt;","")))</f>
        <v/>
      </c>
      <c r="I8" s="45" t="str">
        <f>IF('[1]U-MP6'!E5="","",(--SUBSTITUTE(('[1]U-MP6'!E5),"&lt;","")))</f>
        <v/>
      </c>
      <c r="J8" s="45" t="str">
        <f>IF('[1]U-MP7'!E5="","",(--SUBSTITUTE(('[1]U-MP7'!E5),"&lt;","")))</f>
        <v/>
      </c>
      <c r="K8" s="45" t="str">
        <f>IF('[1]U-MP8'!E5="","",(--SUBSTITUTE(('[1]U-MP8'!E5),"&lt;","")))</f>
        <v/>
      </c>
      <c r="L8" s="45" t="str">
        <f>IF('[1]U-MP9'!E5="","",(--SUBSTITUTE(('[1]U-MP9'!E5),"&lt;","")))</f>
        <v/>
      </c>
      <c r="M8" s="45" t="str">
        <f>IF('[1]U-MP10'!E5="","",(--SUBSTITUTE(('[1]U-MP10'!E5),"&lt;","")))</f>
        <v/>
      </c>
      <c r="N8" s="45" t="str">
        <f>IF('[1]U-MP11'!E5="","",(--SUBSTITUTE(('[1]U-MP11'!E5),"&lt;","")))</f>
        <v/>
      </c>
      <c r="O8" s="45" t="str">
        <f>IF('[1]U-MP12'!E5="","",(--SUBSTITUTE(('[1]U-MP12'!E5),"&lt;","")))</f>
        <v/>
      </c>
      <c r="P8" s="45" t="str">
        <f>IF('[1]U-MP13'!E5="","",(--SUBSTITUTE(('[1]U-MP13'!E5),"&lt;","")))</f>
        <v/>
      </c>
      <c r="Q8" s="45" t="str">
        <f>IF('[1]U-MP14'!E5="","",(--SUBSTITUTE(('[1]U-MP14'!E5),"&lt;","")))</f>
        <v/>
      </c>
      <c r="R8" s="46" t="str">
        <f>IF('[1]U-MP15'!E5="","",(--SUBSTITUTE(('[1]U-MP15'!E5),"&lt;","")))</f>
        <v/>
      </c>
      <c r="S8" s="47" t="str">
        <f>IF(COUNTBLANK(D8:R8)&lt;15,COUNT(D8:R8),"-")</f>
        <v>-</v>
      </c>
      <c r="T8" s="48" t="str">
        <f>IF(COUNTBLANK(D8:R8)&gt;14,"",IF(SUM(D8:R8)=0,"---",AVERAGE(D8:R8)))</f>
        <v/>
      </c>
      <c r="U8" s="49" t="str">
        <f>IF(COUNTBLANK(D8:R8)&gt;14,"",IF(COUNT(D8:R8)&lt;2,"---",STDEV(D8:R8)))</f>
        <v/>
      </c>
      <c r="V8" s="50" t="str">
        <f>IF(COUNTBLANK(D8:R8)&gt;14,"",IF(COUNTBLANK(D8:R8)=14,"ein Messwert",IF(ISTEXT(Y8),"kein ZW",IF(SUM(D8:R8)=0,"---",IF(MAX(D8:R8)&lt;(0.5*Y8),"&lt; 50% ZW",IF(MAX(D8:R8)&gt;2*MIN(D8:R8),"inhomogen","homogen"))))))</f>
        <v/>
      </c>
      <c r="W8" s="51" t="str">
        <f>IF(S8&gt;=$V$2,"", IF(COUNTBLANK(D8:R8)=14,"n.z.","X"))</f>
        <v/>
      </c>
      <c r="X8" s="51" t="str">
        <f>IF(OR(W8="",V8="kein ZW"),"-",IF(COUNTBLANK(D8:R8)=14,"NEIN",IF(AND(V8="inhomogen",S8&lt;$V$2),"NEIN",IF(AND($S$1&gt;500,S8&lt;2+(ROUNDUP(($S$1-500)/300,0))),"NEIN-U","JA"))))</f>
        <v>-</v>
      </c>
      <c r="Y8" s="52">
        <f>IF(OR($C$3="",$C$3="Z0* IIIA",$C$3="Z0*",$C$3="Z1.1",$C$3="Z1.2",$C$3="Z2"),"",IF(AND($O$2="Ja",OR($C$3="Reku Spalte 9",$C$3="DK-0,5",$C$3="DK 0",$C$3="DK I")),3,IF($C$3="DK 0",1,IF($C$3="DK I",1,IF($C$3="DK II",3,IF($C$3="DK III",6,1))))))</f>
        <v>3</v>
      </c>
      <c r="Z8" s="53" t="str">
        <f>IF(OR(D8="",W8="n.z.",X8="NEIN",Y8="manuell"),"-",IF(Y8="",MAX(D8:R8),IF(ROUND(MAX(D8:R8),0)&gt;Y8,"Überschreitung",IF(V8="---","Messwerte = 0",IF(MAX(D8:R8)&lt;=(0.5*Y8),0.5*Y8,IF(MAX(D8:R8)&lt;=Y8,ROUND(MAX(D8:R8),0),Y8))))))</f>
        <v>-</v>
      </c>
      <c r="AA8" s="53" t="str">
        <f>IF(AND(ISNUMBER(Z8),OR(V8="homogen",V8="&lt; 50% ZW",AND(V8="inhomogen",S8&gt;=$V$2))),"JA",IF(OR(Z8="-",Z8="Messwerte = 0"),"-",(IF(V8="kein ZW","kein ZW","NEIN"))))</f>
        <v>-</v>
      </c>
      <c r="AB8" s="54" t="str">
        <f>IF(OR(COUNTBLANK(D8:R8)&gt;=14,AA8="JA",AA8="kein ZW",X8="NEIN",Y8="manuell"),"",IF(AND(AA8="NEIN",W8="X"),"n.z.",IF(COUNTIF(D8:R8,"&gt;"&amp;(Y8+0.4999))&gt;(COUNT(D8:R8)*0.2),"NEIN",IF(ROUND(AVERAGE(D8:R8),0)&lt;=Y8,"JA","NEIN"))))</f>
        <v/>
      </c>
      <c r="AC8" s="55" t="str">
        <f>IF(AND(AB8="JA",S8&lt;10),ROUND(LARGE(D8:R8,2),0),IF(AND(AB8="JA",S8&gt;9,S8&lt;15),ROUND(LARGE(D8:R8,3),0),IF(AND(AB8="JA",S8=15),ROUND(LARGE(D8:R8,4),0),"-")))</f>
        <v>-</v>
      </c>
      <c r="AD8" s="55" t="str">
        <f>IF(OR(COUNTBLANK(D8:R8)&gt;=14,AA8="JA",AB8="JA",AA8="kein ZW",X8="NEIN",Y8="manuell"),"",IF(AB8="n.z.","n.z.",IF(ROUND((AVERAGE(D8:R8))+1.65*STDEV(D8:R8)/(SQRT(COUNT(D8:R8))),0)&lt;=Y8,"JA","NEIN")))</f>
        <v/>
      </c>
      <c r="AE8" s="56" t="str">
        <f>IF(AD8="JA",ROUND((AVERAGE(D8:R8))+1.65*STDEV(D8:R8)/(SQRT(COUNT(D8:R8))),0),"-")</f>
        <v>-</v>
      </c>
      <c r="AG8" s="21"/>
    </row>
    <row r="9" spans="1:33" ht="13.5" thickBot="1" x14ac:dyDescent="0.25">
      <c r="A9" s="57">
        <v>2</v>
      </c>
      <c r="B9" s="58" t="s">
        <v>52</v>
      </c>
      <c r="C9" s="59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3"/>
      <c r="V9" s="64"/>
      <c r="W9" s="64"/>
      <c r="X9" s="64"/>
      <c r="Y9" s="64"/>
      <c r="Z9" s="64"/>
      <c r="AA9" s="65"/>
      <c r="AB9" s="66"/>
      <c r="AC9" s="66"/>
      <c r="AD9" s="67"/>
    </row>
    <row r="10" spans="1:33" x14ac:dyDescent="0.2">
      <c r="A10" s="68" t="s">
        <v>53</v>
      </c>
      <c r="B10" s="69" t="s">
        <v>54</v>
      </c>
      <c r="C10" s="70" t="s">
        <v>55</v>
      </c>
      <c r="D10" s="71" t="str">
        <f>IF('[1]U-MP1'!E7="","",(--SUBSTITUTE(('[1]U-MP1'!E7),"&lt;","")))</f>
        <v/>
      </c>
      <c r="E10" s="72" t="str">
        <f>IF('[1]U-MP2'!E7="","",(--SUBSTITUTE(('[1]U-MP2'!E7),"&lt;","")))</f>
        <v/>
      </c>
      <c r="F10" s="72" t="str">
        <f>IF('[1]U-MP3'!E7="","",(--SUBSTITUTE(('[1]U-MP3'!E7),"&lt;","")))</f>
        <v/>
      </c>
      <c r="G10" s="72" t="str">
        <f>IF('[1]U-MP4'!E7="","",(--SUBSTITUTE(('[1]U-MP4'!E7),"&lt;","")))</f>
        <v/>
      </c>
      <c r="H10" s="72" t="str">
        <f>IF('[1]U-MP5'!E7="","",(--SUBSTITUTE(('[1]U-MP5'!E7),"&lt;","")))</f>
        <v/>
      </c>
      <c r="I10" s="72" t="str">
        <f>IF('[1]U-MP6'!E7="","",(--SUBSTITUTE(('[1]U-MP6'!E7),"&lt;","")))</f>
        <v/>
      </c>
      <c r="J10" s="72" t="str">
        <f>IF('[1]U-MP7'!E7="","",(--SUBSTITUTE(('[1]U-MP7'!E7),"&lt;","")))</f>
        <v/>
      </c>
      <c r="K10" s="72" t="str">
        <f>IF('[1]U-MP8'!E7="","",(--SUBSTITUTE(('[1]U-MP8'!E7),"&lt;","")))</f>
        <v/>
      </c>
      <c r="L10" s="72" t="str">
        <f>IF('[1]U-MP9'!E7="","",(--SUBSTITUTE(('[1]U-MP9'!E7),"&lt;","")))</f>
        <v/>
      </c>
      <c r="M10" s="72" t="str">
        <f>IF('[1]U-MP10'!E7="","",(--SUBSTITUTE(('[1]U-MP10'!E7),"&lt;","")))</f>
        <v/>
      </c>
      <c r="N10" s="72" t="str">
        <f>IF('[1]U-MP11'!E7="","",(--SUBSTITUTE(('[1]U-MP11'!E7),"&lt;","")))</f>
        <v/>
      </c>
      <c r="O10" s="72" t="str">
        <f>IF('[1]U-MP12'!E7="","",(--SUBSTITUTE(('[1]U-MP12'!E7),"&lt;","")))</f>
        <v/>
      </c>
      <c r="P10" s="72" t="str">
        <f>IF('[1]U-MP13'!E7="","",(--SUBSTITUTE(('[1]U-MP13'!E7),"&lt;","")))</f>
        <v/>
      </c>
      <c r="Q10" s="72" t="str">
        <f>IF('[1]U-MP14'!E7="","",(--SUBSTITUTE(('[1]U-MP14'!E7),"&lt;","")))</f>
        <v/>
      </c>
      <c r="R10" s="73" t="str">
        <f>IF('[1]U-MP15'!E7="","",(--SUBSTITUTE(('[1]U-MP15'!E7),"&lt;","")))</f>
        <v/>
      </c>
      <c r="S10" s="31" t="str">
        <f>IF(COUNTBLANK(D10:R10)&lt;15,COUNT(D10:R10),"-")</f>
        <v>-</v>
      </c>
      <c r="T10" s="74" t="str">
        <f>IF(COUNTBLANK(D10:R10)&gt;14,"",IF(SUM(D10:R10)=0,"---",AVERAGE(D10:R10)))</f>
        <v/>
      </c>
      <c r="U10" s="33" t="str">
        <f>IF(COUNTBLANK(D10:R10)&gt;14,"",IF(COUNT(D10:R10)&lt;2,"---",STDEV(D10:R10)))</f>
        <v/>
      </c>
      <c r="V10" s="34" t="str">
        <f>IF(COUNTBLANK(D10:R10)&gt;14,"",IF(COUNTBLANK(D10:R10)=14,"ein Messwert",IF(ISTEXT(Y10),"kein ZW",IF(SUM(D10:R10)=0,"---",IF(MAX(D10:R10)&lt;(0.5*Y10),"&lt; 50% ZW",IF(MAX(D10:R10)&gt;2*MIN(D10:R10),"inhomogen","homogen"))))))</f>
        <v/>
      </c>
      <c r="W10" s="35" t="str">
        <f t="shared" ref="W10:W23" si="0">IF(S10&gt;=$V$2,"", IF(COUNTBLANK(D10:R10)=14,"n.z.","X"))</f>
        <v/>
      </c>
      <c r="X10" s="35" t="str">
        <f t="shared" ref="X10:X23" si="1">IF(OR(W10="",V10="kein ZW"),"-",IF(COUNTBLANK(D10:R10)=14,"NEIN",IF(AND(V10="inhomogen",S10&lt;$V$2),"NEIN",IF(AND($S$1&gt;500,S10&lt;2+(ROUNDUP(($S$1-500)/300,0))),"NEIN-U","JA"))))</f>
        <v>-</v>
      </c>
      <c r="Y10" s="75" t="str">
        <f>IF($C$3="","",IF($C$3="DK-0,5","manuell",IF(OR($C$3="Z0* IIIA",$C$3="Z0*",$C$3="Z1.1",$C$3="Z1.2",$C$3="Z2"),1,IF($C$3="DK I","manuell",IF($C$3="DK II","manuell",IF($C$3="DK III","manuell",6))))))</f>
        <v>manuell</v>
      </c>
      <c r="Z10" s="37" t="str">
        <f>IF(OR(D10="",W10="n.z.",X10="NEIN",Y10="manuell"),"-",IF(Y10="",MAX(D10:R10),IF(ROUND(MAX(D10:R10),0)&gt;Y10,"Überschreitung",IF(V10="---","Messwerte = 0",IF(MAX(D10:R10)&lt;=(0.5*Y10),0.5*Y10,IF(MAX(D10:R10)&lt;=Y10,ROUND(MAX(D10:R10),0),Y10))))))</f>
        <v>-</v>
      </c>
      <c r="AA10" s="37" t="str">
        <f t="shared" ref="AA10:AA23" si="2">IF(AND(ISNUMBER(Z10),OR(V10="homogen",V10="&lt; 50% ZW",AND(V10="inhomogen",S10&gt;=$V$2))),"JA",IF(OR(Z10="-",Z10="Messwerte = 0"),"-",(IF(V10="kein ZW","kein ZW","NEIN"))))</f>
        <v>-</v>
      </c>
      <c r="AB10" s="38" t="str">
        <f>IF(OR(COUNTBLANK(D10:R10)&gt;=14,AA10="JA",AA10="kein ZW",X10="NEIN",Y10="manuell"),"",IF(AND(AA10="NEIN",W10="X"),"n.z.",IF(COUNTIF(D10:R10,"&gt;"&amp;(Y10+0.4999))&gt;(COUNT(D10:R10)*0.2),"NEIN",IF(ROUND(AVERAGE(D10:R10),0)&lt;=Y10,"JA","NEIN"))))</f>
        <v/>
      </c>
      <c r="AC10" s="39" t="str">
        <f>IF(AND(AB10="JA",S10&lt;10),ROUND(LARGE(D10:R10,2),0),IF(AND(AB10="JA",S10&gt;9,S10&lt;15),ROUND(LARGE(D10:R10,3),0),IF(AND(AB10="JA",S10=15),ROUND(LARGE(D10:R10,4),0),"-")))</f>
        <v>-</v>
      </c>
      <c r="AD10" s="39" t="str">
        <f t="shared" ref="AD10:AD23" si="3">IF(OR(COUNTBLANK(D10:R10)&gt;=14,AA10="JA",AB10="JA",AA10="kein ZW",X10="NEIN",Y10="manuell"),"",IF(AB10="n.z.","n.z.",IF(ROUND((AVERAGE(D10:R10))+1.65*STDEV(D10:R10)/(SQRT(COUNT(D10:R10))),0)&lt;=Y10,"JA","NEIN")))</f>
        <v/>
      </c>
      <c r="AE10" s="40" t="str">
        <f>IF(AD10="JA",ROUND((AVERAGE(D10:R10))+1.65*STDEV(D10:R10)/(SQRT(COUNT(D10:R10))),0),"-")</f>
        <v>-</v>
      </c>
    </row>
    <row r="11" spans="1:33" ht="12.75" customHeight="1" x14ac:dyDescent="0.25">
      <c r="A11" s="68" t="s">
        <v>56</v>
      </c>
      <c r="B11" s="76" t="s">
        <v>57</v>
      </c>
      <c r="C11" s="70" t="s">
        <v>55</v>
      </c>
      <c r="D11" s="77" t="str">
        <f>IF('[1]U-MP1'!E8="","",(--SUBSTITUTE(('[1]U-MP1'!E8),"&lt;","")))</f>
        <v/>
      </c>
      <c r="E11" s="78" t="str">
        <f>IF('[1]U-MP2'!E8="","",(--SUBSTITUTE(('[1]U-MP2'!E8),"&lt;","")))</f>
        <v/>
      </c>
      <c r="F11" s="78" t="str">
        <f>IF('[1]U-MP3'!E8="","",(--SUBSTITUTE(('[1]U-MP3'!E8),"&lt;","")))</f>
        <v/>
      </c>
      <c r="G11" s="78" t="str">
        <f>IF('[1]U-MP4'!E8="","",(--SUBSTITUTE(('[1]U-MP4'!E8),"&lt;","")))</f>
        <v/>
      </c>
      <c r="H11" s="78" t="str">
        <f>IF('[1]U-MP5'!E8="","",(--SUBSTITUTE(('[1]U-MP5'!E8),"&lt;","")))</f>
        <v/>
      </c>
      <c r="I11" s="78" t="str">
        <f>IF('[1]U-MP6'!E8="","",(--SUBSTITUTE(('[1]U-MP6'!E8),"&lt;","")))</f>
        <v/>
      </c>
      <c r="J11" s="78" t="str">
        <f>IF('[1]U-MP7'!E8="","",(--SUBSTITUTE(('[1]U-MP7'!E8),"&lt;","")))</f>
        <v/>
      </c>
      <c r="K11" s="78" t="str">
        <f>IF('[1]U-MP8'!E8="","",(--SUBSTITUTE(('[1]U-MP8'!E8),"&lt;","")))</f>
        <v/>
      </c>
      <c r="L11" s="78" t="str">
        <f>IF('[1]U-MP9'!E8="","",(--SUBSTITUTE(('[1]U-MP9'!E8),"&lt;","")))</f>
        <v/>
      </c>
      <c r="M11" s="78" t="str">
        <f>IF('[1]U-MP10'!E8="","",(--SUBSTITUTE(('[1]U-MP10'!E8),"&lt;","")))</f>
        <v/>
      </c>
      <c r="N11" s="78" t="str">
        <f>IF('[1]U-MP11'!E8="","",(--SUBSTITUTE(('[1]U-MP11'!E8),"&lt;","")))</f>
        <v/>
      </c>
      <c r="O11" s="78" t="str">
        <f>IF('[1]U-MP12'!E8="","",(--SUBSTITUTE(('[1]U-MP12'!E8),"&lt;","")))</f>
        <v/>
      </c>
      <c r="P11" s="78" t="str">
        <f>IF('[1]U-MP13'!E8="","",(--SUBSTITUTE(('[1]U-MP13'!E8),"&lt;","")))</f>
        <v/>
      </c>
      <c r="Q11" s="78" t="str">
        <f>IF('[1]U-MP14'!E8="","",(--SUBSTITUTE(('[1]U-MP14'!E8),"&lt;","")))</f>
        <v/>
      </c>
      <c r="R11" s="79" t="str">
        <f>IF('[1]U-MP15'!E8="","",(--SUBSTITUTE(('[1]U-MP15'!E8),"&lt;","")))</f>
        <v/>
      </c>
      <c r="S11" s="80" t="str">
        <f t="shared" ref="S11:S23" si="4">IF(COUNTBLANK(D11:R11)&lt;15,COUNT(D11:R11),"-")</f>
        <v>-</v>
      </c>
      <c r="T11" s="81" t="str">
        <f t="shared" ref="T11:T23" si="5">IF(COUNTBLANK(D11:R11)&gt;14,"",IF(SUM(D11:R11)=0,"---",AVERAGE(D11:R11)))</f>
        <v/>
      </c>
      <c r="U11" s="82" t="str">
        <f t="shared" ref="U11:U23" si="6">IF(COUNTBLANK(D11:R11)&gt;14,"",IF(COUNT(D11:R11)&lt;2,"---",STDEV(D11:R11)))</f>
        <v/>
      </c>
      <c r="V11" s="83" t="str">
        <f t="shared" ref="V11:V23" si="7">IF(COUNTBLANK(D11:R11)&gt;14,"",IF(COUNTBLANK(D11:R11)=14,"ein Messwert",IF(ISTEXT(Y11),"kein ZW",IF(SUM(D11:R11)=0,"---",IF(MAX(D11:R11)&lt;(0.5*Y11),"&lt; 50% ZW",IF(MAX(D11:R11)&gt;2*MIN(D11:R11),"inhomogen","homogen"))))))</f>
        <v/>
      </c>
      <c r="W11" s="84" t="str">
        <f t="shared" si="0"/>
        <v/>
      </c>
      <c r="X11" s="84" t="str">
        <f t="shared" si="1"/>
        <v>-</v>
      </c>
      <c r="Y11" s="85">
        <f>IF(OR($C$3="",$C$3="Z0* IIIA",$C$3="Z0*",$C$3="Z1.1",$C$3="Z1.2",$C$3="Z2"),"",IF($C$3="DK-0,5","manuell",IF($C$3="Reku Spalte 9",0.1,IF($C$3="DK I",5,IF($C$3="DK II",10,IF($C$3="DK III",10,1))))))</f>
        <v>5</v>
      </c>
      <c r="Z11" s="86" t="str">
        <f>IF(OR(D11="",W11="n.z.",X11="NEIN",Y11="manuell"),"-",IF(Y11="",MAX(D11:R11),IF(ROUND(MAX(D11:R11),1)&gt;Y11,"Überschreitung",IF(V11="---","Messwerte = 0",IF(MAX(D11:R11)&lt;=(0.5*Y11),0.5*Y11,IF(MAX(D11:R11)&lt;=Y11,ROUND(MAX(D11:R11),1),Y11))))))</f>
        <v>-</v>
      </c>
      <c r="AA11" s="87" t="str">
        <f t="shared" si="2"/>
        <v>-</v>
      </c>
      <c r="AB11" s="88" t="str">
        <f>IF(OR(COUNTBLANK(D11:R11)&gt;=14,AA11="JA",AA11="kein ZW",X11="NEIN",Y11="manuell"),"",IF(AND(AA11="NEIN",W11="X"),"n.z.",IF(COUNTIF(D11:R11,"&gt;"&amp;(Y11+0.4999))&gt;(COUNT(D11:R11)*0.2),"NEIN",IF(ROUND(AVERAGE(D11:R11),0)&lt;=Y11,"JA","NEIN"))))</f>
        <v/>
      </c>
      <c r="AC11" s="89" t="str">
        <f>IF(AND(AB11="JA",S11&lt;10),ROUND(LARGE(D11:R11,2),0),IF(AND(AB11="JA",S11&gt;9,S11&lt;15),ROUND(LARGE(D11:R11,3),0),IF(AND(AB11="JA",S11=15),ROUND(LARGE(D11:R11,4),0),"-")))</f>
        <v>-</v>
      </c>
      <c r="AD11" s="90" t="str">
        <f t="shared" si="3"/>
        <v/>
      </c>
      <c r="AE11" s="91" t="str">
        <f t="shared" ref="AE11:AE23" si="8">IF(AD11="JA",ROUND((AVERAGE(D11:R11))+1.65*STDEV(D11:R11)/(SQRT(COUNT(D11:R11))),0),"-")</f>
        <v>-</v>
      </c>
    </row>
    <row r="12" spans="1:33" ht="14.1" customHeight="1" x14ac:dyDescent="0.2">
      <c r="A12" s="68" t="s">
        <v>58</v>
      </c>
      <c r="B12" s="69" t="s">
        <v>59</v>
      </c>
      <c r="C12" s="70" t="s">
        <v>55</v>
      </c>
      <c r="D12" s="92"/>
      <c r="E12" s="93" t="str">
        <f>IF('[1]U-MP2'!E9="","",(--SUBSTITUTE(('[1]U-MP2'!E9),"&lt;","")))</f>
        <v/>
      </c>
      <c r="F12" s="93" t="str">
        <f>IF('[1]U-MP3'!E9="","",(--SUBSTITUTE(('[1]U-MP3'!E9),"&lt;","")))</f>
        <v/>
      </c>
      <c r="G12" s="93" t="str">
        <f>IF('[1]U-MP4'!E9="","",(--SUBSTITUTE(('[1]U-MP4'!E9),"&lt;","")))</f>
        <v/>
      </c>
      <c r="H12" s="93" t="str">
        <f>IF('[1]U-MP5'!E9="","",(--SUBSTITUTE(('[1]U-MP5'!E9),"&lt;","")))</f>
        <v/>
      </c>
      <c r="I12" s="93" t="str">
        <f>IF('[1]U-MP6'!E9="","",(--SUBSTITUTE(('[1]U-MP6'!E9),"&lt;","")))</f>
        <v/>
      </c>
      <c r="J12" s="93" t="str">
        <f>IF('[1]U-MP7'!E9="","",(--SUBSTITUTE(('[1]U-MP7'!E9),"&lt;","")))</f>
        <v/>
      </c>
      <c r="K12" s="93" t="str">
        <f>IF('[1]U-MP8'!E9="","",(--SUBSTITUTE(('[1]U-MP8'!E9),"&lt;","")))</f>
        <v/>
      </c>
      <c r="L12" s="93" t="str">
        <f>IF('[1]U-MP9'!E9="","",(--SUBSTITUTE(('[1]U-MP9'!E9),"&lt;","")))</f>
        <v/>
      </c>
      <c r="M12" s="93" t="str">
        <f>IF('[1]U-MP10'!E9="","",(--SUBSTITUTE(('[1]U-MP10'!E9),"&lt;","")))</f>
        <v/>
      </c>
      <c r="N12" s="93" t="str">
        <f>IF('[1]U-MP11'!E9="","",(--SUBSTITUTE(('[1]U-MP11'!E9),"&lt;","")))</f>
        <v/>
      </c>
      <c r="O12" s="93" t="str">
        <f>IF('[1]U-MP12'!E9="","",(--SUBSTITUTE(('[1]U-MP12'!E9),"&lt;","")))</f>
        <v/>
      </c>
      <c r="P12" s="93" t="str">
        <f>IF('[1]U-MP13'!E9="","",(--SUBSTITUTE(('[1]U-MP13'!E9),"&lt;","")))</f>
        <v/>
      </c>
      <c r="Q12" s="93" t="str">
        <f>IF('[1]U-MP14'!E9="","",(--SUBSTITUTE(('[1]U-MP14'!E9),"&lt;","")))</f>
        <v/>
      </c>
      <c r="R12" s="94" t="str">
        <f>IF('[1]U-MP15'!E9="","",(--SUBSTITUTE(('[1]U-MP15'!E9),"&lt;","")))</f>
        <v/>
      </c>
      <c r="S12" s="80" t="str">
        <f t="shared" si="4"/>
        <v>-</v>
      </c>
      <c r="T12" s="95" t="str">
        <f t="shared" si="5"/>
        <v/>
      </c>
      <c r="U12" s="82" t="str">
        <f t="shared" si="6"/>
        <v/>
      </c>
      <c r="V12" s="83" t="str">
        <f t="shared" si="7"/>
        <v/>
      </c>
      <c r="W12" s="84" t="str">
        <f t="shared" si="0"/>
        <v/>
      </c>
      <c r="X12" s="84" t="str">
        <f t="shared" si="1"/>
        <v>-</v>
      </c>
      <c r="Y12" s="85">
        <f>IF(OR($C$3="",$C$3="Reku Spalte 9"),"",IF($C$3="Z0* IIIA",100,IF($C$3="Z0*",400,IF($C$3="Z1.1",600,IF($C$3="Z1.2",600,IF($C$3="Z2",2000,IF($C$3="DK-0,5","manuell",IF($C$3="DK I",4000,IF($C$3="DK II",8000,IF($C$3="DK III",8000,500))))))))))</f>
        <v>4000</v>
      </c>
      <c r="Z12" s="87" t="str">
        <f>IF(OR(D12="",W12="n.z.",X12="NEIN",Y12="manuell"),"-",IF(Y12="",MAX(D12:R12),IF(ROUND(MAX(D12:R12),0)&gt;Y12,"Überschreitung",IF(V12="---","Messwerte = 0",IF(MAX(D12:R12)&lt;=(0.5*Y12),0.5*Y12,IF(MAX(D12:R12)&lt;=Y12,ROUND(MAX(D12:R12),0),Y12))))))</f>
        <v>-</v>
      </c>
      <c r="AA12" s="87" t="str">
        <f t="shared" si="2"/>
        <v>-</v>
      </c>
      <c r="AB12" s="88" t="str">
        <f>IF(OR(COUNTBLANK(D12:R12)&gt;=14,AA12="JA",AA12="kein ZW",X12="NEIN",Y12="manuell"),"",IF(AND(AA12="NEIN",W12="X"),"n.z.",IF(COUNTIF(D12:R12,"&gt;"&amp;(Y12+0.4999))&gt;(COUNT(D12:R12)*0.2),"NEIN",IF(ROUND(AVERAGE(D12:R12),0)&lt;=Y12,"JA","NEIN"))))</f>
        <v/>
      </c>
      <c r="AC12" s="90" t="str">
        <f>IF(AND(AB12="JA",S12&lt;10),ROUND(LARGE(D12:R12,2),0),IF(AND(AB12="JA",S12&gt;9,S12&lt;15),ROUND(LARGE(D12:R12,3),0),IF(AND(AB12="JA",S12=15),ROUND(LARGE(D12:R12,4),0),"-")))</f>
        <v>-</v>
      </c>
      <c r="AD12" s="90" t="str">
        <f t="shared" si="3"/>
        <v/>
      </c>
      <c r="AE12" s="96" t="str">
        <f t="shared" si="8"/>
        <v>-</v>
      </c>
    </row>
    <row r="13" spans="1:33" x14ac:dyDescent="0.2">
      <c r="A13" s="68" t="s">
        <v>60</v>
      </c>
      <c r="B13" s="69" t="s">
        <v>61</v>
      </c>
      <c r="C13" s="70" t="s">
        <v>55</v>
      </c>
      <c r="D13" s="77" t="str">
        <f>IF('[1]U-MP1'!E10="","",(--SUBSTITUTE(('[1]U-MP1'!E10),"&lt;","")))</f>
        <v/>
      </c>
      <c r="E13" s="78" t="str">
        <f>IF('[1]U-MP2'!E10="","",(--SUBSTITUTE(('[1]U-MP2'!E10),"&lt;","")))</f>
        <v/>
      </c>
      <c r="F13" s="78" t="str">
        <f>IF('[1]U-MP3'!E10="","",(--SUBSTITUTE(('[1]U-MP3'!E10),"&lt;","")))</f>
        <v/>
      </c>
      <c r="G13" s="78" t="str">
        <f>IF('[1]U-MP4'!E10="","",(--SUBSTITUTE(('[1]U-MP4'!E10),"&lt;","")))</f>
        <v/>
      </c>
      <c r="H13" s="78" t="str">
        <f>IF('[1]U-MP5'!E10="","",(--SUBSTITUTE(('[1]U-MP5'!E10),"&lt;","")))</f>
        <v/>
      </c>
      <c r="I13" s="78" t="str">
        <f>IF('[1]U-MP6'!E10="","",(--SUBSTITUTE(('[1]U-MP6'!E10),"&lt;","")))</f>
        <v/>
      </c>
      <c r="J13" s="78" t="str">
        <f>IF('[1]U-MP7'!E10="","",(--SUBSTITUTE(('[1]U-MP7'!E10),"&lt;","")))</f>
        <v/>
      </c>
      <c r="K13" s="78" t="str">
        <f>IF('[1]U-MP8'!E10="","",(--SUBSTITUTE(('[1]U-MP8'!E10),"&lt;","")))</f>
        <v/>
      </c>
      <c r="L13" s="78" t="str">
        <f>IF('[1]U-MP9'!E10="","",(--SUBSTITUTE(('[1]U-MP9'!E10),"&lt;","")))</f>
        <v/>
      </c>
      <c r="M13" s="78" t="str">
        <f>IF('[1]U-MP10'!E10="","",(--SUBSTITUTE(('[1]U-MP10'!E10),"&lt;","")))</f>
        <v/>
      </c>
      <c r="N13" s="78" t="str">
        <f>IF('[1]U-MP11'!E10="","",(--SUBSTITUTE(('[1]U-MP11'!E10),"&lt;","")))</f>
        <v/>
      </c>
      <c r="O13" s="78" t="str">
        <f>IF('[1]U-MP12'!E10="","",(--SUBSTITUTE(('[1]U-MP12'!E10),"&lt;","")))</f>
        <v/>
      </c>
      <c r="P13" s="78" t="str">
        <f>IF('[1]U-MP13'!E10="","",(--SUBSTITUTE(('[1]U-MP13'!E10),"&lt;","")))</f>
        <v/>
      </c>
      <c r="Q13" s="78" t="str">
        <f>IF('[1]U-MP14'!E10="","",(--SUBSTITUTE(('[1]U-MP14'!E10),"&lt;","")))</f>
        <v/>
      </c>
      <c r="R13" s="79" t="str">
        <f>IF('[1]U-MP15'!E10="","",(--SUBSTITUTE(('[1]U-MP15'!E10),"&lt;","")))</f>
        <v/>
      </c>
      <c r="S13" s="80" t="str">
        <f t="shared" si="4"/>
        <v>-</v>
      </c>
      <c r="T13" s="81" t="str">
        <f t="shared" si="5"/>
        <v/>
      </c>
      <c r="U13" s="82" t="str">
        <f t="shared" si="6"/>
        <v/>
      </c>
      <c r="V13" s="83" t="str">
        <f t="shared" si="7"/>
        <v/>
      </c>
      <c r="W13" s="84" t="str">
        <f t="shared" si="0"/>
        <v/>
      </c>
      <c r="X13" s="84" t="str">
        <f t="shared" si="1"/>
        <v>-</v>
      </c>
      <c r="Y13" s="85">
        <f>IF(OR($C$3=""),"",IF($C$3="Z0* IIIA",3,IF($C$3="Z0*",3,IF($C$3="Z1.1",3,IF($C$3="Z1.2",9,IF($C$3="Z2",30,IF($C$3="DK-0,5","manuell",IF($C$3="DK I",500,IF($C$3="DK II",1000,IF($C$3="DK III",1000,IF($C$3="Reku Spalte 9",5,30)))))))))))</f>
        <v>500</v>
      </c>
      <c r="Z13" s="87" t="str">
        <f>IF(OR(D13="",W13="n.z.",X13="NEIN",Y13="manuell"),"-",IF(Y13="",MAX(D13:R13),IF(ROUND(MAX(D13:R13),0)&gt;Y13,"Überschreitung",IF(V13="---","Messwerte = 0",IF(MAX(D13:R13)&lt;=(0.5*Y13),0.5*Y13,IF(MAX(D13:R13)&lt;=Y13,ROUND(MAX(D13:R13),0),Y13))))))</f>
        <v>-</v>
      </c>
      <c r="AA13" s="87" t="str">
        <f t="shared" si="2"/>
        <v>-</v>
      </c>
      <c r="AB13" s="88" t="str">
        <f>IF(OR(COUNTBLANK(D13:R13)&gt;=14,AA13="JA",AA13="kein ZW",X13="NEIN",Y13="manuell"),"",IF(AND(AA13="NEIN",W13="X"),"n.z.",IF(COUNTIF(D13:R13,"&gt;"&amp;(Y13+0.4999))&gt;(COUNT(D13:R13)*0.2),"NEIN",IF(ROUND(AVERAGE(D13:R13),0)&lt;=Y13,"JA","NEIN"))))</f>
        <v/>
      </c>
      <c r="AC13" s="90" t="str">
        <f>IF(AND(AB13="JA",S13&lt;10),ROUND(LARGE(D13:R13,2),0),IF(AND(AB13="JA",S13&gt;9,S13&lt;15),ROUND(LARGE(D13:R13,3),0),IF(AND(AB13="JA",S13=15),ROUND(LARGE(D13:R13,4),0),"-")))</f>
        <v>-</v>
      </c>
      <c r="AD13" s="90" t="str">
        <f t="shared" si="3"/>
        <v/>
      </c>
      <c r="AE13" s="96" t="str">
        <f t="shared" si="8"/>
        <v>-</v>
      </c>
    </row>
    <row r="14" spans="1:33" x14ac:dyDescent="0.2">
      <c r="A14" s="68" t="s">
        <v>62</v>
      </c>
      <c r="B14" s="97" t="s">
        <v>63</v>
      </c>
      <c r="C14" s="70" t="s">
        <v>55</v>
      </c>
      <c r="D14" s="77" t="str">
        <f>IF('[1]U-MP1'!E11="","",(--SUBSTITUTE(('[1]U-MP1'!E11),"&lt;","")))</f>
        <v/>
      </c>
      <c r="E14" s="78" t="str">
        <f>IF('[1]U-MP2'!E11="","",(--SUBSTITUTE(('[1]U-MP2'!E11),"&lt;","")))</f>
        <v/>
      </c>
      <c r="F14" s="78" t="str">
        <f>IF('[1]U-MP3'!E11="","",(--SUBSTITUTE(('[1]U-MP3'!E11),"&lt;","")))</f>
        <v/>
      </c>
      <c r="G14" s="78" t="str">
        <f>IF('[1]U-MP4'!E11="","",(--SUBSTITUTE(('[1]U-MP4'!E11),"&lt;","")))</f>
        <v/>
      </c>
      <c r="H14" s="78" t="str">
        <f>IF('[1]U-MP5'!E11="","",(--SUBSTITUTE(('[1]U-MP5'!E11),"&lt;","")))</f>
        <v/>
      </c>
      <c r="I14" s="78" t="str">
        <f>IF('[1]U-MP6'!E11="","",(--SUBSTITUTE(('[1]U-MP6'!E11),"&lt;","")))</f>
        <v/>
      </c>
      <c r="J14" s="78" t="str">
        <f>IF('[1]U-MP7'!E11="","",(--SUBSTITUTE(('[1]U-MP7'!E11),"&lt;","")))</f>
        <v/>
      </c>
      <c r="K14" s="78" t="str">
        <f>IF('[1]U-MP8'!E11="","",(--SUBSTITUTE(('[1]U-MP8'!E11),"&lt;","")))</f>
        <v/>
      </c>
      <c r="L14" s="78" t="str">
        <f>IF('[1]U-MP9'!E11="","",(--SUBSTITUTE(('[1]U-MP9'!E11),"&lt;","")))</f>
        <v/>
      </c>
      <c r="M14" s="78" t="str">
        <f>IF('[1]U-MP10'!E11="","",(--SUBSTITUTE(('[1]U-MP10'!E11),"&lt;","")))</f>
        <v/>
      </c>
      <c r="N14" s="78" t="str">
        <f>IF('[1]U-MP11'!E11="","",(--SUBSTITUTE(('[1]U-MP11'!E11),"&lt;","")))</f>
        <v/>
      </c>
      <c r="O14" s="78" t="str">
        <f>IF('[1]U-MP12'!E11="","",(--SUBSTITUTE(('[1]U-MP12'!E11),"&lt;","")))</f>
        <v/>
      </c>
      <c r="P14" s="78" t="str">
        <f>IF('[1]U-MP13'!E11="","",(--SUBSTITUTE(('[1]U-MP13'!E11),"&lt;","")))</f>
        <v/>
      </c>
      <c r="Q14" s="78" t="str">
        <f>IF('[1]U-MP14'!E11="","",(--SUBSTITUTE(('[1]U-MP14'!E11),"&lt;","")))</f>
        <v/>
      </c>
      <c r="R14" s="79" t="str">
        <f>IF('[1]U-MP15'!E11="","",(--SUBSTITUTE(('[1]U-MP15'!E11),"&lt;","")))</f>
        <v/>
      </c>
      <c r="S14" s="80" t="str">
        <f t="shared" si="4"/>
        <v>-</v>
      </c>
      <c r="T14" s="81" t="str">
        <f t="shared" si="5"/>
        <v/>
      </c>
      <c r="U14" s="82" t="str">
        <f t="shared" si="6"/>
        <v/>
      </c>
      <c r="V14" s="83" t="str">
        <f t="shared" si="7"/>
        <v/>
      </c>
      <c r="W14" s="84" t="str">
        <f t="shared" si="0"/>
        <v/>
      </c>
      <c r="X14" s="84" t="str">
        <f t="shared" si="1"/>
        <v>-</v>
      </c>
      <c r="Y14" s="85" t="str">
        <f>IF(OR($C$3=""),"",IF($C$3="Z0* IIIA",0.3,IF($C$3="Z0*",0.6,IF($C$3="Z1.1",0.9,IF($C$3="Z1.2",0.9,IF($C$3="Z2",3,IF($C$3="DK-0,5","manuell",IF(OR($C$3="DK I",$C$3="DK II"),"",IF($C$3="DK III","",IF($C$3="Reku Spalte 9",0.6,""))))))))))</f>
        <v/>
      </c>
      <c r="Z14" s="86" t="str">
        <f>IF(OR(D14="",W14="n.z.",X14="NEIN",Y14="manuell"),"-",IF(Y14="",MAX(D14:R14),IF(ROUND(MAX(D14:R14),1)&gt;Y14,"Überschreitung",IF(V14="---","Messwerte = 0",IF(MAX(D14:R14)&lt;=(0.5*Y14),0.5*Y14,IF(MAX(D14:R14)&lt;=Y14,ROUND(MAX(D14:R14),1),Y14))))))</f>
        <v>-</v>
      </c>
      <c r="AA14" s="87" t="str">
        <f t="shared" si="2"/>
        <v>-</v>
      </c>
      <c r="AB14" s="88" t="str">
        <f>IF(OR(COUNTBLANK(D14:R14)&gt;=14,AA14="JA",AA14="kein ZW",X14="NEIN",Y14="manuell"),"",IF(AND(AA14="NEIN",W14="X"),"n.z.",IF(COUNTIF(D14:R14,"&gt;"&amp;(Y14+0.4999))&gt;(COUNT(D14:R14)*0.2),"NEIN",IF(ROUND(AVERAGE(D14:R14),0)&lt;=Y14,"JA","NEIN"))))</f>
        <v/>
      </c>
      <c r="AC14" s="89" t="str">
        <f>IF(AND(AB14="JA",S14&lt;10),ROUND(LARGE(D14:R14,2),1),IF(AND(AB14="JA",S14&gt;9,S14&lt;15),ROUND(LARGE(D14:R14,3),1),IF(AND(AB14="JA",S14=15),ROUND(LARGE(D14:R14,4),1),"-")))</f>
        <v>-</v>
      </c>
      <c r="AD14" s="90" t="str">
        <f t="shared" si="3"/>
        <v/>
      </c>
      <c r="AE14" s="91" t="str">
        <f t="shared" si="8"/>
        <v>-</v>
      </c>
    </row>
    <row r="15" spans="1:33" ht="24" x14ac:dyDescent="0.2">
      <c r="A15" s="68" t="s">
        <v>64</v>
      </c>
      <c r="B15" s="97" t="s">
        <v>65</v>
      </c>
      <c r="C15" s="98" t="s">
        <v>66</v>
      </c>
      <c r="D15" s="92" t="str">
        <f>IF('[1]U-MP1'!E12="","",(--SUBSTITUTE(('[1]U-MP1'!E12),"&lt;","")))</f>
        <v/>
      </c>
      <c r="E15" s="93" t="str">
        <f>IF('[1]U-MP2'!E12="","",(--SUBSTITUTE(('[1]U-MP2'!E12),"&lt;","")))</f>
        <v/>
      </c>
      <c r="F15" s="93" t="str">
        <f>IF('[1]U-MP3'!E12="","",(--SUBSTITUTE(('[1]U-MP3'!E12),"&lt;","")))</f>
        <v/>
      </c>
      <c r="G15" s="93" t="str">
        <f>IF('[1]U-MP4'!E12="","",(--SUBSTITUTE(('[1]U-MP4'!E12),"&lt;","")))</f>
        <v/>
      </c>
      <c r="H15" s="93" t="str">
        <f>IF('[1]U-MP5'!E12="","",(--SUBSTITUTE(('[1]U-MP5'!E12),"&lt;","")))</f>
        <v/>
      </c>
      <c r="I15" s="93" t="str">
        <f>IF('[1]U-MP6'!E12="","",(--SUBSTITUTE(('[1]U-MP6'!E12),"&lt;","")))</f>
        <v/>
      </c>
      <c r="J15" s="93" t="str">
        <f>IF('[1]U-MP7'!E12="","",(--SUBSTITUTE(('[1]U-MP7'!E12),"&lt;","")))</f>
        <v/>
      </c>
      <c r="K15" s="93" t="str">
        <f>IF('[1]U-MP8'!E12="","",(--SUBSTITUTE(('[1]U-MP8'!E12),"&lt;","")))</f>
        <v/>
      </c>
      <c r="L15" s="93" t="str">
        <f>IF('[1]U-MP9'!E12="","",(--SUBSTITUTE(('[1]U-MP9'!E12),"&lt;","")))</f>
        <v/>
      </c>
      <c r="M15" s="93" t="str">
        <f>IF('[1]U-MP10'!E12="","",(--SUBSTITUTE(('[1]U-MP10'!E12),"&lt;","")))</f>
        <v/>
      </c>
      <c r="N15" s="93" t="str">
        <f>IF('[1]U-MP11'!E12="","",(--SUBSTITUTE(('[1]U-MP11'!E12),"&lt;","")))</f>
        <v/>
      </c>
      <c r="O15" s="93" t="str">
        <f>IF('[1]U-MP12'!E12="","",(--SUBSTITUTE(('[1]U-MP12'!E12),"&lt;","")))</f>
        <v/>
      </c>
      <c r="P15" s="93" t="str">
        <f>IF('[1]U-MP13'!E12="","",(--SUBSTITUTE(('[1]U-MP13'!E12),"&lt;","")))</f>
        <v/>
      </c>
      <c r="Q15" s="93" t="str">
        <f>IF('[1]U-MP14'!E12="","",(--SUBSTITUTE(('[1]U-MP14'!E12),"&lt;","")))</f>
        <v/>
      </c>
      <c r="R15" s="94" t="str">
        <f>IF('[1]U-MP15'!E12="","",(--SUBSTITUTE(('[1]U-MP15'!E12),"&lt;","")))</f>
        <v/>
      </c>
      <c r="S15" s="80" t="str">
        <f t="shared" si="4"/>
        <v>-</v>
      </c>
      <c r="T15" s="95" t="str">
        <f t="shared" si="5"/>
        <v/>
      </c>
      <c r="U15" s="82" t="str">
        <f t="shared" si="6"/>
        <v/>
      </c>
      <c r="V15" s="83" t="str">
        <f t="shared" si="7"/>
        <v/>
      </c>
      <c r="W15" s="84" t="str">
        <f t="shared" si="0"/>
        <v/>
      </c>
      <c r="X15" s="84" t="str">
        <f t="shared" si="1"/>
        <v>-</v>
      </c>
      <c r="Y15" s="99" t="s">
        <v>67</v>
      </c>
      <c r="Z15" s="87" t="str">
        <f>IF(OR(D15="",W15="n.z.",X15="NEIN",Y15="manuell"),"-",IF(Y15="(*)",MAX(D15:R15),IF(ROUND(MAX(D15:R15),0)&gt;Y15,"Überschreitung",IF(V15="---","Messwerte = 0",IF(MAX(D15:R15)&lt;=(0.5*Y15),0.5*Y15,IF(MAX(D15:R15)&lt;=Y15,ROUND(MAX(D15:R15),0),Y15))))))</f>
        <v>-</v>
      </c>
      <c r="AA15" s="87" t="str">
        <f t="shared" si="2"/>
        <v>-</v>
      </c>
      <c r="AB15" s="88" t="str">
        <f>IF(OR(COUNTBLANK(D15:R15)&gt;=14,AA15="JA",AA15="kein ZW",X15="NEIN",Y15="manuell",Y15=""),"",IF(AND(AA15="NEIN",W15="X"),"n.z.",IF(COUNTIF(D15:R15,"&gt;"&amp;(Y15+0.4999))&gt;(COUNT(D15:R15)*0.2),"NEIN",IF(ROUND(AVERAGE(D15:R15),0)&lt;=Y15,"JA","NEIN"))))</f>
        <v/>
      </c>
      <c r="AC15" s="90" t="str">
        <f>IF(AND(AB15="JA",S15&lt;10),ROUND(LARGE(D15:R15,2),0),IF(AND(AB15="JA",S15&gt;9,S15&lt;15),ROUND(LARGE(D15:R15,3),0),IF(AND(AB15="JA",S15=15),ROUND(LARGE(D15:R15,4),0),"-")))</f>
        <v>-</v>
      </c>
      <c r="AD15" s="90" t="str">
        <f t="shared" si="3"/>
        <v/>
      </c>
      <c r="AE15" s="96" t="str">
        <f t="shared" si="8"/>
        <v>-</v>
      </c>
    </row>
    <row r="16" spans="1:33" ht="12.75" customHeight="1" x14ac:dyDescent="0.2">
      <c r="A16" s="68" t="s">
        <v>68</v>
      </c>
      <c r="B16" s="97" t="s">
        <v>69</v>
      </c>
      <c r="C16" s="70" t="s">
        <v>49</v>
      </c>
      <c r="D16" s="77" t="str">
        <f>IF('[1]U-MP1'!E13="","",(--SUBSTITUTE(('[1]U-MP1'!E13),"&lt;","")))</f>
        <v/>
      </c>
      <c r="E16" s="78" t="str">
        <f>IF('[1]U-MP2'!E13="","",(--SUBSTITUTE(('[1]U-MP2'!E13),"&lt;","")))</f>
        <v/>
      </c>
      <c r="F16" s="78" t="str">
        <f>IF('[1]U-MP3'!E13="","",(--SUBSTITUTE(('[1]U-MP3'!E13),"&lt;","")))</f>
        <v/>
      </c>
      <c r="G16" s="78" t="str">
        <f>IF('[1]U-MP4'!E13="","",(--SUBSTITUTE(('[1]U-MP4'!E13),"&lt;","")))</f>
        <v/>
      </c>
      <c r="H16" s="78" t="str">
        <f>IF('[1]U-MP5'!E13="","",(--SUBSTITUTE(('[1]U-MP5'!E13),"&lt;","")))</f>
        <v/>
      </c>
      <c r="I16" s="78" t="str">
        <f>IF('[1]U-MP6'!E13="","",(--SUBSTITUTE(('[1]U-MP6'!E13),"&lt;","")))</f>
        <v/>
      </c>
      <c r="J16" s="78" t="str">
        <f>IF('[1]U-MP7'!E13="","",(--SUBSTITUTE(('[1]U-MP7'!E13),"&lt;","")))</f>
        <v/>
      </c>
      <c r="K16" s="78" t="str">
        <f>IF('[1]U-MP8'!E13="","",(--SUBSTITUTE(('[1]U-MP8'!E13),"&lt;","")))</f>
        <v/>
      </c>
      <c r="L16" s="78" t="str">
        <f>IF('[1]U-MP9'!E13="","",(--SUBSTITUTE(('[1]U-MP9'!E13),"&lt;","")))</f>
        <v/>
      </c>
      <c r="M16" s="78" t="str">
        <f>IF('[1]U-MP10'!E13="","",(--SUBSTITUTE(('[1]U-MP10'!E13),"&lt;","")))</f>
        <v/>
      </c>
      <c r="N16" s="78" t="str">
        <f>IF('[1]U-MP11'!E13="","",(--SUBSTITUTE(('[1]U-MP11'!E13),"&lt;","")))</f>
        <v/>
      </c>
      <c r="O16" s="78" t="str">
        <f>IF('[1]U-MP12'!E13="","",(--SUBSTITUTE(('[1]U-MP12'!E13),"&lt;","")))</f>
        <v/>
      </c>
      <c r="P16" s="78" t="str">
        <f>IF('[1]U-MP13'!E13="","",(--SUBSTITUTE(('[1]U-MP13'!E13),"&lt;","")))</f>
        <v/>
      </c>
      <c r="Q16" s="78" t="str">
        <f>IF('[1]U-MP14'!E13="","",(--SUBSTITUTE(('[1]U-MP14'!E13),"&lt;","")))</f>
        <v/>
      </c>
      <c r="R16" s="79" t="str">
        <f>IF('[1]U-MP15'!E13="","",(--SUBSTITUTE(('[1]U-MP15'!E13),"&lt;","")))</f>
        <v/>
      </c>
      <c r="S16" s="80" t="str">
        <f t="shared" si="4"/>
        <v>-</v>
      </c>
      <c r="T16" s="81" t="str">
        <f t="shared" si="5"/>
        <v/>
      </c>
      <c r="U16" s="82" t="str">
        <f t="shared" si="6"/>
        <v/>
      </c>
      <c r="V16" s="83" t="str">
        <f t="shared" si="7"/>
        <v/>
      </c>
      <c r="W16" s="84" t="str">
        <f t="shared" si="0"/>
        <v/>
      </c>
      <c r="X16" s="84" t="str">
        <f t="shared" si="1"/>
        <v>-</v>
      </c>
      <c r="Y16" s="85">
        <f>IF(OR($C$3=""),"",IF($C$3="Z0* IIIA","",IF($C$3="Z0*","",IF($C$3="Z1.1","",IF($C$3="Z1.2","",IF($C$3="Z2","",IF($C$3="DK-0,5","manuell",IF($C$3="DK I",0.4,IF($C$3="DK II",0.8,IF($C$3="DK III",4,IF($C$3="Reku Spalte 9","",0.1)))))))))))</f>
        <v>0.4</v>
      </c>
      <c r="Z16" s="86" t="str">
        <f>IF(OR(D16="",W16="n.z.",X16="NEIN",Y16="manuell"),"-",IF(Y16="",MAX(D16:R16),IF(ROUND(MAX(D16:R16),1)&gt;Y16,"Überschreitung",IF(V16="---","Messwerte = 0",IF(MAX(D16:R16)&lt;=(0.5*Y16),0.5*Y16,IF(MAX(D16:R16)&lt;=Y16,ROUND(MAX(D16:R16),1),Y16))))))</f>
        <v>-</v>
      </c>
      <c r="AA16" s="87" t="str">
        <f t="shared" si="2"/>
        <v>-</v>
      </c>
      <c r="AB16" s="88" t="str">
        <f>IF(OR(COUNTBLANK(D16:R16)&gt;=14,AA16="JA",AA16="kein ZW",X16="NEIN",Y16="manuell"),"",IF(AND(AA16="NEIN",W16="X"),"n.z.",IF(COUNTIF(D16:R16,"&gt;"&amp;(Y16+0.04999))&gt;(COUNT(D16:R16)*0.2),"NEIN",IF(ROUND(AVERAGE(D16:R16),0)&lt;=Y16,"JA","NEIN"))))</f>
        <v/>
      </c>
      <c r="AC16" s="89" t="str">
        <f>IF(AND(AB16="JA",S16&lt;10),ROUND(LARGE(D16:R16,2),1),IF(AND(AB16="JA",S16&gt;9,S16&lt;15),ROUND(LARGE(D16:R16,3),1),IF(AND(AB16="JA",S16=15),ROUND(LARGE(D16:R16,4),1),"-")))</f>
        <v>-</v>
      </c>
      <c r="AD16" s="90" t="str">
        <f t="shared" si="3"/>
        <v/>
      </c>
      <c r="AE16" s="91" t="str">
        <f t="shared" si="8"/>
        <v>-</v>
      </c>
    </row>
    <row r="17" spans="1:33" x14ac:dyDescent="0.2">
      <c r="A17" s="68" t="s">
        <v>70</v>
      </c>
      <c r="B17" s="97" t="s">
        <v>71</v>
      </c>
      <c r="C17" s="70" t="s">
        <v>55</v>
      </c>
      <c r="D17" s="100" t="str">
        <f>IF('[1]U-MP1'!E14="","",(--SUBSTITUTE(('[1]U-MP1'!E14),"&lt;","")))</f>
        <v/>
      </c>
      <c r="E17" s="101" t="str">
        <f>IF('[1]U-MP2'!E14="","",(--SUBSTITUTE(('[1]U-MP2'!E14),"&lt;","")))</f>
        <v/>
      </c>
      <c r="F17" s="101" t="str">
        <f>IF('[1]U-MP3'!E14="","",(--SUBSTITUTE(('[1]U-MP3'!E14),"&lt;","")))</f>
        <v/>
      </c>
      <c r="G17" s="101" t="str">
        <f>IF('[1]U-MP4'!E14="","",(--SUBSTITUTE(('[1]U-MP4'!E14),"&lt;","")))</f>
        <v/>
      </c>
      <c r="H17" s="101" t="str">
        <f>IF('[1]U-MP5'!E14="","",(--SUBSTITUTE(('[1]U-MP5'!E14),"&lt;","")))</f>
        <v/>
      </c>
      <c r="I17" s="101" t="str">
        <f>IF('[1]U-MP6'!E14="","",(--SUBSTITUTE(('[1]U-MP6'!E14),"&lt;","")))</f>
        <v/>
      </c>
      <c r="J17" s="101" t="str">
        <f>IF('[1]U-MP7'!E14="","",(--SUBSTITUTE(('[1]U-MP7'!E14),"&lt;","")))</f>
        <v/>
      </c>
      <c r="K17" s="101" t="str">
        <f>IF('[1]U-MP8'!E14="","",(--SUBSTITUTE(('[1]U-MP8'!E14),"&lt;","")))</f>
        <v/>
      </c>
      <c r="L17" s="101" t="str">
        <f>IF('[1]U-MP9'!E14="","",(--SUBSTITUTE(('[1]U-MP9'!E14),"&lt;","")))</f>
        <v/>
      </c>
      <c r="M17" s="101" t="str">
        <f>IF('[1]U-MP10'!E14="","",(--SUBSTITUTE(('[1]U-MP10'!E14),"&lt;","")))</f>
        <v/>
      </c>
      <c r="N17" s="101" t="str">
        <f>IF('[1]U-MP11'!E14="","",(--SUBSTITUTE(('[1]U-MP11'!E14),"&lt;","")))</f>
        <v/>
      </c>
      <c r="O17" s="101" t="str">
        <f>IF('[1]U-MP12'!E14="","",(--SUBSTITUTE(('[1]U-MP12'!E14),"&lt;","")))</f>
        <v/>
      </c>
      <c r="P17" s="101" t="str">
        <f>IF('[1]U-MP13'!E14="","",(--SUBSTITUTE(('[1]U-MP13'!E14),"&lt;","")))</f>
        <v/>
      </c>
      <c r="Q17" s="101" t="str">
        <f>IF('[1]U-MP14'!E14="","",(--SUBSTITUTE(('[1]U-MP14'!E14),"&lt;","")))</f>
        <v/>
      </c>
      <c r="R17" s="102" t="str">
        <f>IF('[1]U-MP15'!E14="","",(--SUBSTITUTE(('[1]U-MP15'!E14),"&lt;","")))</f>
        <v/>
      </c>
      <c r="S17" s="80" t="str">
        <f t="shared" si="4"/>
        <v>-</v>
      </c>
      <c r="T17" s="103" t="str">
        <f t="shared" si="5"/>
        <v/>
      </c>
      <c r="U17" s="82" t="str">
        <f t="shared" si="6"/>
        <v/>
      </c>
      <c r="V17" s="83" t="str">
        <f t="shared" si="7"/>
        <v/>
      </c>
      <c r="W17" s="84" t="str">
        <f t="shared" si="0"/>
        <v/>
      </c>
      <c r="X17" s="84" t="str">
        <f t="shared" si="1"/>
        <v>-</v>
      </c>
      <c r="Y17" s="85" t="str">
        <f>IF(OR($C$3=""),"",IF($C$3="Z0* IIIA",100,IF($C$3="Z0*",140,IF($C$3="Z1.1",210,IF($C$3="Z1.2",210,IF($C$3="Z2",700,IF($C$3="DK-0,5","manuell",IF($C$3="DK I","",IF($C$3="DK II","",IF($C$3="DK III","",IF($C$3="Reku Spalte 9",140,"")))))))))))</f>
        <v/>
      </c>
      <c r="Z17" s="87" t="str">
        <f>IF(OR(D17="",W17="n.z.",Y17="manuell"),"-",IF(Y17="",MAX(D17:R17),IF(ROUND(MAX(D17:R17),0)&gt;Y17,"Überschreitung",IF(V17="---","Messwerte = 0",IF(MAX(D17:R17)&lt;=(0.5*Y17),0.5*Y17,IF(MAX(D17:R17)&lt;=Y17,ROUND(MAX(D17:R17),0),Y17))))))</f>
        <v>-</v>
      </c>
      <c r="AA17" s="87" t="str">
        <f t="shared" si="2"/>
        <v>-</v>
      </c>
      <c r="AB17" s="88" t="str">
        <f t="shared" ref="AB17:AB23" si="9">IF(OR(COUNTBLANK(D17:R17)&gt;=14,AA17="JA",AA17="kein ZW",X17="NEIN",Y17="manuell"),"",IF(AND(AA17="NEIN",W17="X"),"n.z.",IF(COUNTIF(D17:R17,"&gt;"&amp;(Y17+0.4999))&gt;(COUNT(D17:R17)*0.2),"NEIN",IF(ROUND(AVERAGE(D17:R17),0)&lt;=Y17,"JA","NEIN"))))</f>
        <v/>
      </c>
      <c r="AC17" s="90" t="str">
        <f>IF(AND(AB17="JA",S17&lt;10),ROUND(LARGE(D17:R17,2),0),IF(AND(AB17="JA",S17&gt;9,S17&lt;15),ROUND(LARGE(D17:R17,3),0),IF(AND(AB17="JA",S17=15),ROUND(LARGE(D17:R17,4),0),"-")))</f>
        <v>-</v>
      </c>
      <c r="AD17" s="90" t="str">
        <f t="shared" si="3"/>
        <v/>
      </c>
      <c r="AE17" s="96" t="str">
        <f t="shared" si="8"/>
        <v>-</v>
      </c>
      <c r="AG17" s="104"/>
    </row>
    <row r="18" spans="1:33" x14ac:dyDescent="0.2">
      <c r="A18" s="68" t="s">
        <v>72</v>
      </c>
      <c r="B18" s="97" t="s">
        <v>73</v>
      </c>
      <c r="C18" s="70" t="s">
        <v>55</v>
      </c>
      <c r="D18" s="100"/>
      <c r="E18" s="101" t="str">
        <f>IF('[1]U-MP2'!E15="","",(--SUBSTITUTE(('[1]U-MP2'!E15),"&lt;","")))</f>
        <v/>
      </c>
      <c r="F18" s="101" t="str">
        <f>IF('[1]U-MP3'!E15="","",(--SUBSTITUTE(('[1]U-MP3'!E15),"&lt;","")))</f>
        <v/>
      </c>
      <c r="G18" s="101" t="str">
        <f>IF('[1]U-MP4'!E15="","",(--SUBSTITUTE(('[1]U-MP4'!E15),"&lt;","")))</f>
        <v/>
      </c>
      <c r="H18" s="101" t="str">
        <f>IF('[1]U-MP5'!E15="","",(--SUBSTITUTE(('[1]U-MP5'!E15),"&lt;","")))</f>
        <v/>
      </c>
      <c r="I18" s="101" t="str">
        <f>IF('[1]U-MP6'!E15="","",(--SUBSTITUTE(('[1]U-MP6'!E15),"&lt;","")))</f>
        <v/>
      </c>
      <c r="J18" s="101" t="str">
        <f>IF('[1]U-MP7'!E15="","",(--SUBSTITUTE(('[1]U-MP7'!E15),"&lt;","")))</f>
        <v/>
      </c>
      <c r="K18" s="101" t="str">
        <f>IF('[1]U-MP8'!E15="","",(--SUBSTITUTE(('[1]U-MP8'!E15),"&lt;","")))</f>
        <v/>
      </c>
      <c r="L18" s="101" t="str">
        <f>IF('[1]U-MP9'!E15="","",(--SUBSTITUTE(('[1]U-MP9'!E15),"&lt;","")))</f>
        <v/>
      </c>
      <c r="M18" s="101" t="str">
        <f>IF('[1]U-MP10'!E15="","",(--SUBSTITUTE(('[1]U-MP10'!E15),"&lt;","")))</f>
        <v/>
      </c>
      <c r="N18" s="101" t="str">
        <f>IF('[1]U-MP11'!E15="","",(--SUBSTITUTE(('[1]U-MP11'!E15),"&lt;","")))</f>
        <v/>
      </c>
      <c r="O18" s="101" t="str">
        <f>IF('[1]U-MP12'!E15="","",(--SUBSTITUTE(('[1]U-MP12'!E15),"&lt;","")))</f>
        <v/>
      </c>
      <c r="P18" s="101" t="str">
        <f>IF('[1]U-MP13'!E15="","",(--SUBSTITUTE(('[1]U-MP13'!E15),"&lt;","")))</f>
        <v/>
      </c>
      <c r="Q18" s="101" t="str">
        <f>IF('[1]U-MP14'!E15="","",(--SUBSTITUTE(('[1]U-MP14'!E15),"&lt;","")))</f>
        <v/>
      </c>
      <c r="R18" s="102" t="str">
        <f>IF('[1]U-MP15'!E15="","",(--SUBSTITUTE(('[1]U-MP15'!E15),"&lt;","")))</f>
        <v/>
      </c>
      <c r="S18" s="80" t="str">
        <f t="shared" si="4"/>
        <v>-</v>
      </c>
      <c r="T18" s="103" t="str">
        <f t="shared" si="5"/>
        <v/>
      </c>
      <c r="U18" s="82" t="str">
        <f t="shared" si="6"/>
        <v/>
      </c>
      <c r="V18" s="83" t="str">
        <f t="shared" si="7"/>
        <v/>
      </c>
      <c r="W18" s="84" t="str">
        <f t="shared" si="0"/>
        <v/>
      </c>
      <c r="X18" s="84" t="str">
        <f t="shared" si="1"/>
        <v>-</v>
      </c>
      <c r="Y18" s="105" t="str">
        <f>IF(OR($C$3=""),"",IF($C$3="Z0* IIIA",1,IF($C$3="Z0*",1,IF($C$3="Z1.1",3,IF($C$3="Z1.2",3,IF($C$3="Z2",10,IF($C$3="DK-0,5","manuell",IF($C$3="DK I","",IF($C$3="DK II","",IF($C$3="DK III","",IF($C$3="Reku Spalte 9",1,"")))))))))))</f>
        <v/>
      </c>
      <c r="Z18" s="87" t="str">
        <f>IF(OR(D18="",W18="n.z.",X18="NEIN",Y18="manuell"),"-",IF(Y18="",MAX(D18:R18),IF(ROUND(MAX(D18:R18),1)&gt;Y18,"Überschreitung",IF(V18="---","Messwerte = 0",IF(MAX(D18:R18)&lt;=(0.5*Y18),0.5*Y18,IF(MAX(D18:R18)&lt;=Y18,ROUND(MAX(D18:R18),1),Y18))))))</f>
        <v>-</v>
      </c>
      <c r="AA18" s="87" t="str">
        <f t="shared" si="2"/>
        <v>-</v>
      </c>
      <c r="AB18" s="88" t="str">
        <f t="shared" si="9"/>
        <v/>
      </c>
      <c r="AC18" s="90" t="str">
        <f>IF(AND(AB18="JA",S18&lt;10),ROUND(LARGE(D18:R18,2),1),IF(AND(AB18="JA",S18&gt;9,S18&lt;15),ROUND(LARGE(D18:R18,3),1),IF(AND(AB18="JA",S18=15),ROUND(LARGE(D18:R18,4),1),"-")))</f>
        <v>-</v>
      </c>
      <c r="AD18" s="90" t="str">
        <f t="shared" si="3"/>
        <v/>
      </c>
      <c r="AE18" s="96" t="str">
        <f t="shared" si="8"/>
        <v>-</v>
      </c>
    </row>
    <row r="19" spans="1:33" x14ac:dyDescent="0.2">
      <c r="A19" s="68" t="s">
        <v>74</v>
      </c>
      <c r="B19" s="97" t="s">
        <v>75</v>
      </c>
      <c r="C19" s="70" t="s">
        <v>55</v>
      </c>
      <c r="D19" s="100" t="str">
        <f>IF('[1]U-MP1'!E16="","",(--SUBSTITUTE(('[1]U-MP1'!E16),"&lt;","")))</f>
        <v/>
      </c>
      <c r="E19" s="101" t="str">
        <f>IF('[1]U-MP2'!E16="","",(--SUBSTITUTE(('[1]U-MP2'!E16),"&lt;","")))</f>
        <v/>
      </c>
      <c r="F19" s="101" t="str">
        <f>IF('[1]U-MP3'!E16="","",(--SUBSTITUTE(('[1]U-MP3'!E16),"&lt;","")))</f>
        <v/>
      </c>
      <c r="G19" s="101" t="str">
        <f>IF('[1]U-MP4'!E16="","",(--SUBSTITUTE(('[1]U-MP4'!E16),"&lt;","")))</f>
        <v/>
      </c>
      <c r="H19" s="101" t="str">
        <f>IF('[1]U-MP5'!E16="","",(--SUBSTITUTE(('[1]U-MP5'!E16),"&lt;","")))</f>
        <v/>
      </c>
      <c r="I19" s="101" t="str">
        <f>IF('[1]U-MP6'!E16="","",(--SUBSTITUTE(('[1]U-MP6'!E16),"&lt;","")))</f>
        <v/>
      </c>
      <c r="J19" s="101" t="str">
        <f>IF('[1]U-MP7'!E16="","",(--SUBSTITUTE(('[1]U-MP7'!E16),"&lt;","")))</f>
        <v/>
      </c>
      <c r="K19" s="101" t="str">
        <f>IF('[1]U-MP8'!E16="","",(--SUBSTITUTE(('[1]U-MP8'!E16),"&lt;","")))</f>
        <v/>
      </c>
      <c r="L19" s="101" t="str">
        <f>IF('[1]U-MP9'!E16="","",(--SUBSTITUTE(('[1]U-MP9'!E16),"&lt;","")))</f>
        <v/>
      </c>
      <c r="M19" s="101" t="str">
        <f>IF('[1]U-MP10'!E16="","",(--SUBSTITUTE(('[1]U-MP10'!E16),"&lt;","")))</f>
        <v/>
      </c>
      <c r="N19" s="101" t="str">
        <f>IF('[1]U-MP11'!E16="","",(--SUBSTITUTE(('[1]U-MP11'!E16),"&lt;","")))</f>
        <v/>
      </c>
      <c r="O19" s="101" t="str">
        <f>IF('[1]U-MP12'!E16="","",(--SUBSTITUTE(('[1]U-MP12'!E16),"&lt;","")))</f>
        <v/>
      </c>
      <c r="P19" s="101" t="str">
        <f>IF('[1]U-MP13'!E16="","",(--SUBSTITUTE(('[1]U-MP13'!E16),"&lt;","")))</f>
        <v/>
      </c>
      <c r="Q19" s="101" t="str">
        <f>IF('[1]U-MP14'!E16="","",(--SUBSTITUTE(('[1]U-MP14'!E16),"&lt;","")))</f>
        <v/>
      </c>
      <c r="R19" s="102" t="str">
        <f>IF('[1]U-MP15'!E16="","",(--SUBSTITUTE(('[1]U-MP15'!E16),"&lt;","")))</f>
        <v/>
      </c>
      <c r="S19" s="80" t="str">
        <f t="shared" si="4"/>
        <v>-</v>
      </c>
      <c r="T19" s="103" t="str">
        <f t="shared" si="5"/>
        <v/>
      </c>
      <c r="U19" s="82" t="str">
        <f t="shared" si="6"/>
        <v/>
      </c>
      <c r="V19" s="83" t="str">
        <f t="shared" si="7"/>
        <v/>
      </c>
      <c r="W19" s="84" t="str">
        <f t="shared" si="0"/>
        <v/>
      </c>
      <c r="X19" s="84" t="str">
        <f t="shared" si="1"/>
        <v>-</v>
      </c>
      <c r="Y19" s="85" t="str">
        <f>IF(OR($C$3=""),"",IF($C$3="Z0* IIIA",100,IF($C$3="Z0*",120,IF($C$3="Z1.1",180,IF($C$3="Z1.2",180,IF($C$3="Z2",600,IF($C$3="DK-0,5","manuell",IF($C$3="DK I","",IF($C$3="DK II","",IF($C$3="DK III","",IF($C$3="Reku Spalte 9",120,"")))))))))))</f>
        <v/>
      </c>
      <c r="Z19" s="87" t="str">
        <f>IF(OR(D19="",W19="n.z.",X19="NEIN",Y19="manuell"),"-",IF(Y19="",MAX(D19:R19),IF(ROUND(MAX(D19:R19),0)&gt;Y19,"Überschreitung",IF(V19="---","Messwerte = 0",IF(MAX(D19:R19)&lt;=(0.5*Y19),0.5*Y19,IF(MAX(D19:R19)&lt;=Y19,ROUND(MAX(D19:R19),0),Y19))))))</f>
        <v>-</v>
      </c>
      <c r="AA19" s="87" t="str">
        <f t="shared" si="2"/>
        <v>-</v>
      </c>
      <c r="AB19" s="88" t="str">
        <f t="shared" si="9"/>
        <v/>
      </c>
      <c r="AC19" s="90" t="str">
        <f>IF(AND(AB19="JA",S19&lt;10),ROUND(LARGE(D19:R19,2),0),IF(AND(AB19="JA",S19&gt;9,S19&lt;15),ROUND(LARGE(D19:R19,3),0),IF(AND(AB19="JA",S19=15),ROUND(LARGE(D19:R19,4),0),"-")))</f>
        <v>-</v>
      </c>
      <c r="AD19" s="90" t="str">
        <f t="shared" si="3"/>
        <v/>
      </c>
      <c r="AE19" s="96" t="str">
        <f t="shared" si="8"/>
        <v>-</v>
      </c>
    </row>
    <row r="20" spans="1:33" x14ac:dyDescent="0.2">
      <c r="A20" s="68" t="s">
        <v>76</v>
      </c>
      <c r="B20" s="97" t="s">
        <v>77</v>
      </c>
      <c r="C20" s="70" t="s">
        <v>55</v>
      </c>
      <c r="D20" s="100" t="str">
        <f>IF('[1]U-MP1'!E17="","",(--SUBSTITUTE(('[1]U-MP1'!E17),"&lt;","")))</f>
        <v/>
      </c>
      <c r="E20" s="101" t="str">
        <f>IF('[1]U-MP2'!E17="","",(--SUBSTITUTE(('[1]U-MP2'!E17),"&lt;","")))</f>
        <v/>
      </c>
      <c r="F20" s="101" t="str">
        <f>IF('[1]U-MP3'!E17="","",(--SUBSTITUTE(('[1]U-MP3'!E17),"&lt;","")))</f>
        <v/>
      </c>
      <c r="G20" s="101" t="str">
        <f>IF('[1]U-MP4'!E17="","",(--SUBSTITUTE(('[1]U-MP4'!E17),"&lt;","")))</f>
        <v/>
      </c>
      <c r="H20" s="101" t="str">
        <f>IF('[1]U-MP5'!E17="","",(--SUBSTITUTE(('[1]U-MP5'!E17),"&lt;","")))</f>
        <v/>
      </c>
      <c r="I20" s="101" t="str">
        <f>IF('[1]U-MP6'!E17="","",(--SUBSTITUTE(('[1]U-MP6'!E17),"&lt;","")))</f>
        <v/>
      </c>
      <c r="J20" s="101" t="str">
        <f>IF('[1]U-MP7'!E17="","",(--SUBSTITUTE(('[1]U-MP7'!E17),"&lt;","")))</f>
        <v/>
      </c>
      <c r="K20" s="101" t="str">
        <f>IF('[1]U-MP8'!E17="","",(--SUBSTITUTE(('[1]U-MP8'!E17),"&lt;","")))</f>
        <v/>
      </c>
      <c r="L20" s="101" t="str">
        <f>IF('[1]U-MP9'!E17="","",(--SUBSTITUTE(('[1]U-MP9'!E17),"&lt;","")))</f>
        <v/>
      </c>
      <c r="M20" s="101" t="str">
        <f>IF('[1]U-MP10'!E17="","",(--SUBSTITUTE(('[1]U-MP10'!E17),"&lt;","")))</f>
        <v/>
      </c>
      <c r="N20" s="101" t="str">
        <f>IF('[1]U-MP11'!E17="","",(--SUBSTITUTE(('[1]U-MP11'!E17),"&lt;","")))</f>
        <v/>
      </c>
      <c r="O20" s="101" t="str">
        <f>IF('[1]U-MP12'!E17="","",(--SUBSTITUTE(('[1]U-MP12'!E17),"&lt;","")))</f>
        <v/>
      </c>
      <c r="P20" s="101" t="str">
        <f>IF('[1]U-MP13'!E17="","",(--SUBSTITUTE(('[1]U-MP13'!E17),"&lt;","")))</f>
        <v/>
      </c>
      <c r="Q20" s="101" t="str">
        <f>IF('[1]U-MP14'!E17="","",(--SUBSTITUTE(('[1]U-MP14'!E17),"&lt;","")))</f>
        <v/>
      </c>
      <c r="R20" s="102" t="str">
        <f>IF('[1]U-MP15'!E17="","",(--SUBSTITUTE(('[1]U-MP15'!E17),"&lt;","")))</f>
        <v/>
      </c>
      <c r="S20" s="80" t="str">
        <f t="shared" si="4"/>
        <v>-</v>
      </c>
      <c r="T20" s="103" t="str">
        <f t="shared" si="5"/>
        <v/>
      </c>
      <c r="U20" s="82" t="str">
        <f t="shared" si="6"/>
        <v/>
      </c>
      <c r="V20" s="83" t="str">
        <f t="shared" si="7"/>
        <v/>
      </c>
      <c r="W20" s="84" t="str">
        <f t="shared" si="0"/>
        <v/>
      </c>
      <c r="X20" s="84" t="str">
        <f t="shared" si="1"/>
        <v>-</v>
      </c>
      <c r="Y20" s="85" t="str">
        <f>IF(OR($C$3=""),"",IF($C$3="Z0* IIIA",60,IF($C$3="Z0*",80,IF($C$3="Z1.1",120,IF($C$3="Z1.2",120,IF($C$3="Z2",400,IF($C$3="DK-0,5","manuell",IF($C$3="DK I","",IF($C$3="DK II","",IF($C$3="DK III","",IF($C$3="Reku Spalte 9",80,"")))))))))))</f>
        <v/>
      </c>
      <c r="Z20" s="87" t="str">
        <f>IF(OR(D20="",W20="n.z.",X20="NEIN",Y20="manuell"),"-",IF(Y20="",MAX(D20:R20),IF(ROUND(MAX(D20:R20),0)&gt;Y20,"Überschreitung",IF(V20="---","Messwerte = 0",IF(MAX(D20:R20)&lt;=(0.5*Y20),0.5*Y20,IF(MAX(D20:R20)&lt;=Y20,ROUND(MAX(D20:R20),0),Y20))))))</f>
        <v>-</v>
      </c>
      <c r="AA20" s="87" t="str">
        <f t="shared" si="2"/>
        <v>-</v>
      </c>
      <c r="AB20" s="88" t="str">
        <f t="shared" si="9"/>
        <v/>
      </c>
      <c r="AC20" s="90" t="str">
        <f>IF(AND(AB20="JA",S20&lt;10),ROUND(LARGE(D20:R20,2),0),IF(AND(AB20="JA",S20&gt;9,S20&lt;15),ROUND(LARGE(D20:R20,3),0),IF(AND(AB20="JA",S20=15),ROUND(LARGE(D20:R20,4),0),"-")))</f>
        <v>-</v>
      </c>
      <c r="AD20" s="90" t="str">
        <f t="shared" si="3"/>
        <v/>
      </c>
      <c r="AE20" s="96" t="str">
        <f t="shared" si="8"/>
        <v>-</v>
      </c>
    </row>
    <row r="21" spans="1:33" x14ac:dyDescent="0.2">
      <c r="A21" s="68" t="s">
        <v>78</v>
      </c>
      <c r="B21" s="97" t="s">
        <v>79</v>
      </c>
      <c r="C21" s="70" t="s">
        <v>55</v>
      </c>
      <c r="D21" s="100" t="str">
        <f>IF('[1]U-MP1'!E18="","",(--SUBSTITUTE(('[1]U-MP1'!E18),"&lt;","")))</f>
        <v/>
      </c>
      <c r="E21" s="101" t="str">
        <f>IF('[1]U-MP2'!E18="","",(--SUBSTITUTE(('[1]U-MP2'!E18),"&lt;","")))</f>
        <v/>
      </c>
      <c r="F21" s="101" t="str">
        <f>IF('[1]U-MP3'!E18="","",(--SUBSTITUTE(('[1]U-MP3'!E18),"&lt;","")))</f>
        <v/>
      </c>
      <c r="G21" s="101" t="str">
        <f>IF('[1]U-MP4'!E18="","",(--SUBSTITUTE(('[1]U-MP4'!E18),"&lt;","")))</f>
        <v/>
      </c>
      <c r="H21" s="101" t="str">
        <f>IF('[1]U-MP5'!E18="","",(--SUBSTITUTE(('[1]U-MP5'!E18),"&lt;","")))</f>
        <v/>
      </c>
      <c r="I21" s="101" t="str">
        <f>IF('[1]U-MP6'!E18="","",(--SUBSTITUTE(('[1]U-MP6'!E18),"&lt;","")))</f>
        <v/>
      </c>
      <c r="J21" s="101" t="str">
        <f>IF('[1]U-MP7'!E18="","",(--SUBSTITUTE(('[1]U-MP7'!E18),"&lt;","")))</f>
        <v/>
      </c>
      <c r="K21" s="101" t="str">
        <f>IF('[1]U-MP8'!E18="","",(--SUBSTITUTE(('[1]U-MP8'!E18),"&lt;","")))</f>
        <v/>
      </c>
      <c r="L21" s="101" t="str">
        <f>IF('[1]U-MP9'!E18="","",(--SUBSTITUTE(('[1]U-MP9'!E18),"&lt;","")))</f>
        <v/>
      </c>
      <c r="M21" s="101" t="str">
        <f>IF('[1]U-MP10'!E18="","",(--SUBSTITUTE(('[1]U-MP10'!E18),"&lt;","")))</f>
        <v/>
      </c>
      <c r="N21" s="101" t="str">
        <f>IF('[1]U-MP11'!E18="","",(--SUBSTITUTE(('[1]U-MP11'!E18),"&lt;","")))</f>
        <v/>
      </c>
      <c r="O21" s="101" t="str">
        <f>IF('[1]U-MP12'!E18="","",(--SUBSTITUTE(('[1]U-MP12'!E18),"&lt;","")))</f>
        <v/>
      </c>
      <c r="P21" s="101" t="str">
        <f>IF('[1]U-MP13'!E18="","",(--SUBSTITUTE(('[1]U-MP13'!E18),"&lt;","")))</f>
        <v/>
      </c>
      <c r="Q21" s="101" t="str">
        <f>IF('[1]U-MP14'!E18="","",(--SUBSTITUTE(('[1]U-MP14'!E18),"&lt;","")))</f>
        <v/>
      </c>
      <c r="R21" s="102" t="str">
        <f>IF('[1]U-MP15'!E18="","",(--SUBSTITUTE(('[1]U-MP15'!E18),"&lt;","")))</f>
        <v/>
      </c>
      <c r="S21" s="80" t="str">
        <f t="shared" si="4"/>
        <v>-</v>
      </c>
      <c r="T21" s="103" t="str">
        <f t="shared" si="5"/>
        <v/>
      </c>
      <c r="U21" s="82" t="str">
        <f t="shared" si="6"/>
        <v/>
      </c>
      <c r="V21" s="83" t="str">
        <f t="shared" si="7"/>
        <v/>
      </c>
      <c r="W21" s="84" t="str">
        <f t="shared" si="0"/>
        <v/>
      </c>
      <c r="X21" s="84" t="str">
        <f t="shared" si="1"/>
        <v>-</v>
      </c>
      <c r="Y21" s="85" t="str">
        <f>IF(OR($C$3=""),"",IF($C$3="Z0* IIIA",70,IF($C$3="Z0*",100,IF($C$3="Z1.1",150,IF($C$3="Z1.2",150,IF($C$3="Z2",500,IF($C$3="DK-0,5","manuell",IF($C$3="DK I","",IF($C$3="DK II","",IF($C$3="DK III","",IF($C$3="Reku Spalte 9",100,"")))))))))))</f>
        <v/>
      </c>
      <c r="Z21" s="87" t="str">
        <f>IF(OR(D21="",W21="n.z.",X21="NEIN",Y21="manuell"),"-",IF(Y21="",MAX(D21:R21),IF(ROUND(MAX(D21:R21),0)&gt;Y21,"Überschreitung",IF(V21="---","Messwerte = 0",IF(MAX(D21:R21)&lt;=(0.5*Y21),0.5*Y21,IF(MAX(D21:R21)&lt;=Y21,ROUND(MAX(D21:R21),0),Y21))))))</f>
        <v>-</v>
      </c>
      <c r="AA21" s="87" t="str">
        <f t="shared" si="2"/>
        <v>-</v>
      </c>
      <c r="AB21" s="88" t="str">
        <f t="shared" si="9"/>
        <v/>
      </c>
      <c r="AC21" s="90" t="str">
        <f>IF(AND(AB21="JA",S21&lt;10),ROUND(LARGE(D21:R21,2),0),IF(AND(AB21="JA",S21&gt;9,S21&lt;15),ROUND(LARGE(D21:R21,3),0),IF(AND(AB21="JA",S21=15),ROUND(LARGE(D21:R21,4),0),"-")))</f>
        <v>-</v>
      </c>
      <c r="AD21" s="90" t="str">
        <f t="shared" si="3"/>
        <v/>
      </c>
      <c r="AE21" s="96" t="str">
        <f t="shared" si="8"/>
        <v>-</v>
      </c>
    </row>
    <row r="22" spans="1:33" x14ac:dyDescent="0.2">
      <c r="A22" s="68" t="s">
        <v>80</v>
      </c>
      <c r="B22" s="97" t="s">
        <v>81</v>
      </c>
      <c r="C22" s="70" t="s">
        <v>55</v>
      </c>
      <c r="D22" s="77" t="str">
        <f>IF('[1]U-MP1'!E19="","",(--SUBSTITUTE(('[1]U-MP1'!E19),"&lt;","")))</f>
        <v/>
      </c>
      <c r="E22" s="78" t="str">
        <f>IF('[1]U-MP2'!E19="","",(--SUBSTITUTE(('[1]U-MP2'!E19),"&lt;","")))</f>
        <v/>
      </c>
      <c r="F22" s="78" t="str">
        <f>IF('[1]U-MP3'!E19="","",(--SUBSTITUTE(('[1]U-MP3'!E19),"&lt;","")))</f>
        <v/>
      </c>
      <c r="G22" s="78" t="str">
        <f>IF('[1]U-MP4'!E19="","",(--SUBSTITUTE(('[1]U-MP4'!E19),"&lt;","")))</f>
        <v/>
      </c>
      <c r="H22" s="78" t="str">
        <f>IF('[1]U-MP5'!E19="","",(--SUBSTITUTE(('[1]U-MP5'!E19),"&lt;","")))</f>
        <v/>
      </c>
      <c r="I22" s="78" t="str">
        <f>IF('[1]U-MP6'!E19="","",(--SUBSTITUTE(('[1]U-MP6'!E19),"&lt;","")))</f>
        <v/>
      </c>
      <c r="J22" s="78" t="str">
        <f>IF('[1]U-MP7'!E19="","",(--SUBSTITUTE(('[1]U-MP7'!E19),"&lt;","")))</f>
        <v/>
      </c>
      <c r="K22" s="78" t="str">
        <f>IF('[1]U-MP8'!E19="","",(--SUBSTITUTE(('[1]U-MP8'!E19),"&lt;","")))</f>
        <v/>
      </c>
      <c r="L22" s="78" t="str">
        <f>IF('[1]U-MP9'!E19="","",(--SUBSTITUTE(('[1]U-MP9'!E19),"&lt;","")))</f>
        <v/>
      </c>
      <c r="M22" s="78" t="str">
        <f>IF('[1]U-MP10'!E19="","",(--SUBSTITUTE(('[1]U-MP10'!E19),"&lt;","")))</f>
        <v/>
      </c>
      <c r="N22" s="78" t="str">
        <f>IF('[1]U-MP11'!E19="","",(--SUBSTITUTE(('[1]U-MP11'!E19),"&lt;","")))</f>
        <v/>
      </c>
      <c r="O22" s="78" t="str">
        <f>IF('[1]U-MP12'!E19="","",(--SUBSTITUTE(('[1]U-MP12'!E19),"&lt;","")))</f>
        <v/>
      </c>
      <c r="P22" s="78" t="str">
        <f>IF('[1]U-MP13'!E19="","",(--SUBSTITUTE(('[1]U-MP13'!E19),"&lt;","")))</f>
        <v/>
      </c>
      <c r="Q22" s="78" t="str">
        <f>IF('[1]U-MP14'!E19="","",(--SUBSTITUTE(('[1]U-MP14'!E19),"&lt;","")))</f>
        <v/>
      </c>
      <c r="R22" s="79" t="str">
        <f>IF('[1]U-MP15'!E19="","",(--SUBSTITUTE(('[1]U-MP15'!E19),"&lt;","")))</f>
        <v/>
      </c>
      <c r="S22" s="80" t="str">
        <f t="shared" si="4"/>
        <v>-</v>
      </c>
      <c r="T22" s="81" t="str">
        <f t="shared" si="5"/>
        <v/>
      </c>
      <c r="U22" s="82" t="str">
        <f t="shared" si="6"/>
        <v/>
      </c>
      <c r="V22" s="83" t="str">
        <f t="shared" si="7"/>
        <v/>
      </c>
      <c r="W22" s="84" t="str">
        <f t="shared" si="0"/>
        <v/>
      </c>
      <c r="X22" s="84" t="str">
        <f t="shared" si="1"/>
        <v>-</v>
      </c>
      <c r="Y22" s="85" t="str">
        <f>IF(OR($C$3=""),"",IF($C$3="Z0* IIIA",1,IF($C$3="Z0*",1,IF($C$3="Z1.1",1.5,IF($C$3="Z1.2",1.5,IF($C$3="Z2",5,IF($C$3="DK-0,5","manuell",IF($C$3="DK I","",IF($C$3="DK II","",IF($C$3="DK III","",IF($C$3="Reku Spalte 9",1,"")))))))))))</f>
        <v/>
      </c>
      <c r="Z22" s="86" t="str">
        <f>IF(OR(D22="",W22="nz",X22="NEIN",Y22="manuell"),"-",IF(Y22="",MAX(D22:R22),IF(ROUND(MAX(D22:R22),1)&gt;Y22,"Überschreitung",IF(V22="---","Messwerte = 0",IF(MAX(D22:R22)&lt;=(0.5*Y22),0.5*Y22,IF(MAX(D22:R22)&lt;=Y22,ROUND(MAX(D22:R22),1),Y22))))))</f>
        <v>-</v>
      </c>
      <c r="AA22" s="87" t="str">
        <f t="shared" si="2"/>
        <v>-</v>
      </c>
      <c r="AB22" s="88" t="str">
        <f t="shared" si="9"/>
        <v/>
      </c>
      <c r="AC22" s="89" t="str">
        <f>IF(AND(AB22="JA",S22&lt;10),ROUND(LARGE(D22:R22,2),0),IF(AND(AB22="JA",S22&gt;9,S22&lt;15),ROUND(LARGE(D22:R22,3),0),IF(AND(AB22="JA",S22=15),ROUND(LARGE(D22:R22,4),0),"-")))</f>
        <v>-</v>
      </c>
      <c r="AD22" s="90" t="str">
        <f t="shared" si="3"/>
        <v/>
      </c>
      <c r="AE22" s="91" t="str">
        <f t="shared" si="8"/>
        <v>-</v>
      </c>
    </row>
    <row r="23" spans="1:33" ht="12.75" customHeight="1" thickBot="1" x14ac:dyDescent="0.25">
      <c r="A23" s="106" t="s">
        <v>82</v>
      </c>
      <c r="B23" s="107" t="s">
        <v>83</v>
      </c>
      <c r="C23" s="43" t="s">
        <v>55</v>
      </c>
      <c r="D23" s="108" t="str">
        <f>IF('[1]U-MP1'!E20="","",(--SUBSTITUTE(('[1]U-MP1'!E20),"&lt;","")))</f>
        <v/>
      </c>
      <c r="E23" s="109" t="str">
        <f>IF('[1]U-MP2'!E20="","",(--SUBSTITUTE(('[1]U-MP2'!E20),"&lt;","")))</f>
        <v/>
      </c>
      <c r="F23" s="109" t="str">
        <f>IF('[1]U-MP3'!E20="","",(--SUBSTITUTE(('[1]U-MP3'!E20),"&lt;","")))</f>
        <v/>
      </c>
      <c r="G23" s="109" t="str">
        <f>IF('[1]U-MP4'!E20="","",(--SUBSTITUTE(('[1]U-MP4'!E20),"&lt;","")))</f>
        <v/>
      </c>
      <c r="H23" s="109" t="str">
        <f>IF('[1]U-MP5'!E20="","",(--SUBSTITUTE(('[1]U-MP5'!E20),"&lt;","")))</f>
        <v/>
      </c>
      <c r="I23" s="109" t="str">
        <f>IF('[1]U-MP6'!E20="","",(--SUBSTITUTE(('[1]U-MP6'!E20),"&lt;","")))</f>
        <v/>
      </c>
      <c r="J23" s="109" t="str">
        <f>IF('[1]U-MP7'!E20="","",(--SUBSTITUTE(('[1]U-MP7'!E20),"&lt;","")))</f>
        <v/>
      </c>
      <c r="K23" s="109" t="str">
        <f>IF('[1]U-MP8'!E20="","",(--SUBSTITUTE(('[1]U-MP8'!E20),"&lt;","")))</f>
        <v/>
      </c>
      <c r="L23" s="109" t="str">
        <f>IF('[1]U-MP9'!E20="","",(--SUBSTITUTE(('[1]U-MP9'!E20),"&lt;","")))</f>
        <v/>
      </c>
      <c r="M23" s="109" t="str">
        <f>IF('[1]U-MP10'!E20="","",(--SUBSTITUTE(('[1]U-MP10'!E20),"&lt;","")))</f>
        <v/>
      </c>
      <c r="N23" s="109" t="str">
        <f>IF('[1]U-MP11'!E20="","",(--SUBSTITUTE(('[1]U-MP11'!E20),"&lt;","")))</f>
        <v/>
      </c>
      <c r="O23" s="109" t="str">
        <f>IF('[1]U-MP12'!E20="","",(--SUBSTITUTE(('[1]U-MP12'!E20),"&lt;","")))</f>
        <v/>
      </c>
      <c r="P23" s="109" t="str">
        <f>IF('[1]U-MP13'!E20="","",(--SUBSTITUTE(('[1]U-MP13'!E20),"&lt;","")))</f>
        <v/>
      </c>
      <c r="Q23" s="109" t="str">
        <f>IF('[1]U-MP14'!E20="","",(--SUBSTITUTE(('[1]U-MP14'!E20),"&lt;","")))</f>
        <v/>
      </c>
      <c r="R23" s="110" t="str">
        <f>IF('[1]U-MP15'!E20="","",(--SUBSTITUTE(('[1]U-MP15'!E20),"&lt;","")))</f>
        <v/>
      </c>
      <c r="S23" s="47" t="str">
        <f t="shared" si="4"/>
        <v>-</v>
      </c>
      <c r="T23" s="48" t="str">
        <f t="shared" si="5"/>
        <v/>
      </c>
      <c r="U23" s="49" t="str">
        <f t="shared" si="6"/>
        <v/>
      </c>
      <c r="V23" s="50" t="str">
        <f t="shared" si="7"/>
        <v/>
      </c>
      <c r="W23" s="51" t="str">
        <f t="shared" si="0"/>
        <v/>
      </c>
      <c r="X23" s="51" t="str">
        <f t="shared" si="1"/>
        <v>-</v>
      </c>
      <c r="Y23" s="52" t="str">
        <f>IF(OR($C$3=""),"",IF($C$3="Z0* IIIA",200,IF($C$3="Z0*",300,IF($C$3="Z1.1",450,IF($C$3="Z1.2",450,IF($C$3="Z2",1500,IF($C$3="DK-0,5","manuell",IF($C$3="DK I","",IF($C$3="DK II","",IF($C$3="DK III","",IF($C$3="Reku Spalte 9",300,"")))))))))))</f>
        <v/>
      </c>
      <c r="Z23" s="53" t="str">
        <f>IF(OR(D23="",W23="n.z.",X23="NEIN",Y23="manuell"),"-",IF(Y23="",MAX(D23:R23),IF(ROUND(MAX(D23:R23),0)&gt;Y23,"Überschreitung",IF(V23="---","Messwerte = 0",IF(MAX(D23:R23)&lt;=(0.5*Y23),0.5*Y23,IF(MAX(D23:R23)&lt;=Y23,ROUND(MAX(D23:R23),0),Y23))))))</f>
        <v>-</v>
      </c>
      <c r="AA23" s="53" t="str">
        <f t="shared" si="2"/>
        <v>-</v>
      </c>
      <c r="AB23" s="54" t="str">
        <f t="shared" si="9"/>
        <v/>
      </c>
      <c r="AC23" s="55" t="str">
        <f>IF(AND(AB23="JA",S23&lt;10),ROUND(LARGE(D23:R23,2),0),IF(AND(AB23="JA",S23&gt;9,S23&lt;15),ROUND(LARGE(D23:R23,3),0),IF(AND(AB23="JA",S23=15),ROUND(LARGE(D23:R23,4),0),"-")))</f>
        <v>-</v>
      </c>
      <c r="AD23" s="55" t="str">
        <f t="shared" si="3"/>
        <v/>
      </c>
      <c r="AE23" s="56" t="str">
        <f t="shared" si="8"/>
        <v>-</v>
      </c>
    </row>
    <row r="24" spans="1:33" x14ac:dyDescent="0.2">
      <c r="A24" s="111">
        <v>3</v>
      </c>
      <c r="B24" s="112" t="s">
        <v>84</v>
      </c>
      <c r="C24" s="113"/>
      <c r="D24" s="114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6"/>
      <c r="T24" s="116"/>
      <c r="U24" s="117"/>
      <c r="V24" s="116"/>
      <c r="W24" s="116"/>
      <c r="X24" s="116"/>
      <c r="Y24" s="116"/>
      <c r="Z24" s="116"/>
      <c r="AA24" s="118"/>
      <c r="AB24" s="119"/>
      <c r="AC24" s="66"/>
      <c r="AD24" s="67"/>
      <c r="AE24" s="120"/>
    </row>
    <row r="25" spans="1:33" x14ac:dyDescent="0.2">
      <c r="A25" s="68" t="s">
        <v>85</v>
      </c>
      <c r="B25" s="97" t="s">
        <v>86</v>
      </c>
      <c r="C25" s="98" t="s">
        <v>87</v>
      </c>
      <c r="D25" s="121"/>
      <c r="E25" s="122" t="str">
        <f>IF('[1]U-MP2'!E22="","",(--SUBSTITUTE(('[1]U-MP2'!E22),"&lt;","")))</f>
        <v/>
      </c>
      <c r="F25" s="122" t="str">
        <f>IF('[1]U-MP3'!E22="","",(--SUBSTITUTE(('[1]U-MP3'!E22),"&lt;","")))</f>
        <v/>
      </c>
      <c r="G25" s="122" t="str">
        <f>IF('[1]U-MP4'!E22="","",(--SUBSTITUTE(('[1]U-MP4'!E22),"&lt;","")))</f>
        <v/>
      </c>
      <c r="H25" s="122" t="str">
        <f>IF('[1]U-MP5'!E22="","",(--SUBSTITUTE(('[1]U-MP5'!E22),"&lt;","")))</f>
        <v/>
      </c>
      <c r="I25" s="122" t="str">
        <f>IF('[1]U-MP6'!E22="","",(--SUBSTITUTE(('[1]U-MP6'!E22),"&lt;","")))</f>
        <v/>
      </c>
      <c r="J25" s="122" t="str">
        <f>IF('[1]U-MP7'!E22="","",(--SUBSTITUTE(('[1]U-MP7'!E22),"&lt;","")))</f>
        <v/>
      </c>
      <c r="K25" s="122" t="str">
        <f>IF('[1]U-MP8'!E22="","",(--SUBSTITUTE(('[1]U-MP8'!E22),"&lt;","")))</f>
        <v/>
      </c>
      <c r="L25" s="122" t="str">
        <f>IF('[1]U-MP9'!E22="","",(--SUBSTITUTE(('[1]U-MP9'!E22),"&lt;","")))</f>
        <v/>
      </c>
      <c r="M25" s="122" t="str">
        <f>IF('[1]U-MP10'!E22="","",(--SUBSTITUTE(('[1]U-MP10'!E22),"&lt;","")))</f>
        <v/>
      </c>
      <c r="N25" s="122" t="str">
        <f>IF('[1]U-MP11'!E22="","",(--SUBSTITUTE(('[1]U-MP11'!E22),"&lt;","")))</f>
        <v/>
      </c>
      <c r="O25" s="122" t="str">
        <f>IF('[1]U-MP12'!E22="","",(--SUBSTITUTE(('[1]U-MP12'!E22),"&lt;","")))</f>
        <v/>
      </c>
      <c r="P25" s="122" t="str">
        <f>IF('[1]U-MP13'!E22="","",(--SUBSTITUTE(('[1]U-MP13'!E22),"&lt;","")))</f>
        <v/>
      </c>
      <c r="Q25" s="122" t="str">
        <f>IF('[1]U-MP14'!E22="","",(--SUBSTITUTE(('[1]U-MP14'!E22),"&lt;","")))</f>
        <v/>
      </c>
      <c r="R25" s="123" t="str">
        <f>IF('[1]U-MP15'!E22="","",(--SUBSTITUTE(('[1]U-MP15'!E22),"&lt;","")))</f>
        <v/>
      </c>
      <c r="S25" s="80" t="str">
        <f>IF(COUNTBLANK(D25:R25)&lt;15,COUNT(D25:R25),"-")</f>
        <v>-</v>
      </c>
      <c r="T25" s="103" t="str">
        <f>IF(COUNTBLANK(D25:R25)&gt;14,"",IF(SUM(D25:R25)=0,"---",AVERAGE(D25:R25)))</f>
        <v/>
      </c>
      <c r="U25" s="124" t="s">
        <v>88</v>
      </c>
      <c r="V25" s="83" t="str">
        <f>IF(COUNTBLANK(D25:R25)&gt;14,"",IF(COUNTBLANK(D25:R25)=14,"ein Messwert",IF(SUM(D25:R25)=0,"---","")))</f>
        <v/>
      </c>
      <c r="W25" s="84" t="str">
        <f t="shared" ref="W25:W46" si="10">IF(S25&gt;=$V$2,"", IF(COUNTBLANK(D25:R25)=14,"n.z.","X"))</f>
        <v/>
      </c>
      <c r="X25" s="84" t="str">
        <f t="shared" ref="X25:X46" si="11">IF(OR(W25="",V25="kein ZW"),"-",IF(COUNTBLANK(D25:R25)=14,"NEIN",IF(AND(V25="inhomogen",S25&lt;$V$2),"NEIN",IF(AND($S$1&gt;500,S25&lt;2+(ROUNDUP(($S$1-500)/300,0))),"NEIN-U","JA"))))</f>
        <v>-</v>
      </c>
      <c r="Y25" s="85" t="str">
        <f>IF(OR($C$3=""),"",IF(OR($C$3="Z0* IIIA",$C$3="Z0*",$C$3="Z1.1"),"6,5 - 9,5",IF($C$3="Z1.2","6 - 12",IF($C$3="Z2","5,5 - 12",IF($C$3="DK-0,5","manuell",IF(OR($C$3="DK I",$C$3="DK II"),"5,5 - 13",IF($C$3="DK III","4 - 13",IF($C$3="Reku Spalte 9","6,5 - 9","5,5 - 13"))))))))</f>
        <v>5,5 - 13</v>
      </c>
      <c r="Z25" s="86" t="str">
        <f>IF(OR(D25="",W25="n.z.",X25="NEIN",Y25="manuell"),"-",IF(Y25="",MAX(D25:R25),IF(OR(AND(OR($C$3="DK 0",$C$3="DK I",$C$3="DK II"),OR(ROUND(MAX(D25:R25),0)&gt;13,ROUND(MIN(D25:R25),1)&lt;5.5)),AND($C$3="DK III",OR(ROUND(MAX(D25:R25),0)&gt;13,ROUND(MIN(D25:R25),0)&lt;4)),AND($C$3="Reku Spalte 9",OR(ROUND(MAX(D25:R25),0)&gt;9,ROUND(MIN(D25:R25),1)&lt;6.5))),"Überschreitung",ROUND(MAX(D25:R25),1))))</f>
        <v>-</v>
      </c>
      <c r="AA25" s="87" t="str">
        <f>IF(AND(ISNUMBER(Z25),OR(V25="",V25="&lt; 50% ZW",AND(V25="inhomogen",S25&gt;=$V$2))),"JA",IF(OR(Z25="-",Z25="Messwerte = 0"),"-",(IF(V25="kein ZW","kein ZW","NEIN"))))</f>
        <v>-</v>
      </c>
      <c r="AB25" s="88" t="str">
        <f>IF(OR(COUNTBLANK(D25:R25)&gt;=14,AA25="JA",AA25="kein ZW",X25="NEIN",Y25="manuell"),"",IF(AND(AA25="NEIN",W25="X"),"n.z.",IF(COUNTIF(D25:R25,"&gt;"&amp;(Y25+0.4999))&gt;(COUNT(D25:R25)*0.2),"NEIN",IF(ROUND(AVERAGE(D25:R25),0)&lt;=Y25,"JA","NEIN"))))</f>
        <v/>
      </c>
      <c r="AC25" s="89" t="str">
        <f>IF(AND(AB25="JA",S25&lt;10),ROUND(LARGE(D25:R25,2),0),IF(AND(AB25="JA",S25&gt;9,S25&lt;15),ROUND(LARGE(D25:R25,3),0),IF(AND(AB25="JA",S25=15),ROUND(LARGE(D25:R25,4),0),"-")))</f>
        <v>-</v>
      </c>
      <c r="AD25" s="90" t="str">
        <f t="shared" ref="AD25:AD46" si="12">IF(OR(COUNTBLANK(D25:R25)&gt;=14,AA25="JA",AB25="JA",AA25="kein ZW",X25="NEIN",Y25="manuell"),"",IF(AB25="n.z.","n.z.",IF(ROUND((AVERAGE(D25:R25))+1.65*STDEV(D25:R25)/(SQRT(COUNT(D25:R25))),0)&lt;=Y25,"JA","NEIN")))</f>
        <v/>
      </c>
      <c r="AE25" s="91" t="str">
        <f>IF(AD25="JA",ROUND((AVERAGE(D25:R25))+1.65*STDEV(D25:R25)/(SQRT(COUNT(D25:R25))),0),"-")</f>
        <v>-</v>
      </c>
    </row>
    <row r="26" spans="1:33" ht="12.95" customHeight="1" x14ac:dyDescent="0.2">
      <c r="A26" s="68" t="s">
        <v>89</v>
      </c>
      <c r="B26" s="97" t="s">
        <v>90</v>
      </c>
      <c r="C26" s="98" t="s">
        <v>91</v>
      </c>
      <c r="D26" s="125" t="str">
        <f>IF('[1]U-MP1'!E23="","",(--SUBSTITUTE(('[1]U-MP1'!E23),"&lt;","")))</f>
        <v/>
      </c>
      <c r="E26" s="126" t="str">
        <f>IF('[1]U-MP2'!E23="","",(--SUBSTITUTE(('[1]U-MP2'!E23),"&lt;","")))</f>
        <v/>
      </c>
      <c r="F26" s="126" t="str">
        <f>IF('[1]U-MP3'!E23="","",(--SUBSTITUTE(('[1]U-MP3'!E23),"&lt;","")))</f>
        <v/>
      </c>
      <c r="G26" s="126" t="str">
        <f>IF('[1]U-MP4'!E23="","",(--SUBSTITUTE(('[1]U-MP4'!E23),"&lt;","")))</f>
        <v/>
      </c>
      <c r="H26" s="126" t="str">
        <f>IF('[1]U-MP5'!E23="","",(--SUBSTITUTE(('[1]U-MP5'!E23),"&lt;","")))</f>
        <v/>
      </c>
      <c r="I26" s="126" t="str">
        <f>IF('[1]U-MP6'!E23="","",(--SUBSTITUTE(('[1]U-MP6'!E23),"&lt;","")))</f>
        <v/>
      </c>
      <c r="J26" s="126" t="str">
        <f>IF('[1]U-MP7'!E23="","",(--SUBSTITUTE(('[1]U-MP7'!E23),"&lt;","")))</f>
        <v/>
      </c>
      <c r="K26" s="126" t="str">
        <f>IF('[1]U-MP8'!E23="","",(--SUBSTITUTE(('[1]U-MP8'!E23),"&lt;","")))</f>
        <v/>
      </c>
      <c r="L26" s="126" t="str">
        <f>IF('[1]U-MP9'!E23="","",(--SUBSTITUTE(('[1]U-MP9'!E23),"&lt;","")))</f>
        <v/>
      </c>
      <c r="M26" s="126" t="str">
        <f>IF('[1]U-MP10'!E23="","",(--SUBSTITUTE(('[1]U-MP10'!E23),"&lt;","")))</f>
        <v/>
      </c>
      <c r="N26" s="126" t="str">
        <f>IF('[1]U-MP11'!E23="","",(--SUBSTITUTE(('[1]U-MP11'!E23),"&lt;","")))</f>
        <v/>
      </c>
      <c r="O26" s="126" t="str">
        <f>IF('[1]U-MP12'!E23="","",(--SUBSTITUTE(('[1]U-MP12'!E23),"&lt;","")))</f>
        <v/>
      </c>
      <c r="P26" s="126" t="str">
        <f>IF('[1]U-MP13'!E23="","",(--SUBSTITUTE(('[1]U-MP13'!E23),"&lt;","")))</f>
        <v/>
      </c>
      <c r="Q26" s="126" t="str">
        <f>IF('[1]U-MP14'!E23="","",(--SUBSTITUTE(('[1]U-MP14'!E23),"&lt;","")))</f>
        <v/>
      </c>
      <c r="R26" s="127" t="str">
        <f>IF('[1]U-MP15'!E23="","",(--SUBSTITUTE(('[1]U-MP15'!E23),"&lt;","")))</f>
        <v/>
      </c>
      <c r="S26" s="80" t="str">
        <f>IF(COUNTBLANK(D26:R26)&lt;15,COUNT(D26:R26),"-")</f>
        <v>-</v>
      </c>
      <c r="T26" s="103" t="str">
        <f>IF(COUNTBLANK(D26:R26)&gt;14,"",IF(SUM(D26:R26)=0,"---",AVERAGE(D26:R26)))</f>
        <v/>
      </c>
      <c r="U26" s="82" t="str">
        <f>IF(COUNTBLANK(D26:R26)&gt;14,"",IF(COUNT(D26:R26)&lt;2,"---",STDEV(D26:R26)))</f>
        <v/>
      </c>
      <c r="V26" s="83" t="str">
        <f>IF(COUNTBLANK(D26:R26)&gt;14,"",IF(COUNTBLANK(D26:R26)=14,"ein Messwert",IF(ISTEXT(Y26),"kein ZW",IF(SUM(D26:R26)=0,"---",IF(MAX(D26:R26)&lt;(0.5*Y26),"&lt; 50% ZW",IF(MAX(D26:R26)&gt;2*MIN(D26:R26),"inhomogen","homogen"))))))</f>
        <v/>
      </c>
      <c r="W26" s="84" t="str">
        <f t="shared" si="10"/>
        <v/>
      </c>
      <c r="X26" s="84" t="str">
        <f t="shared" si="11"/>
        <v>-</v>
      </c>
      <c r="Y26" s="85">
        <f>IF(OR($C$3="",$C$3="Z0* IIIA",$C$3="Z0*",$C$3="Z1.1",$C$3="Z1.2",$C$3="Z2",$C$3="Reku Spalte 9"),"",IF($C$3="DK-0,5","manuell",IF($C$3="DK I",50,IF($C$3="DK II",80,IF($C$3="DK III",100,50)))))</f>
        <v>50</v>
      </c>
      <c r="Z26" s="87" t="str">
        <f>IF(OR(D26="",W26="n.z.",X26="NEIN",Y26="manuell"),"-",IF(Y26="",MAX(D26:R26),IF(ROUND(MAX(D26:R26),0)&gt;Y26,"Überschreitung",IF(V26="---","Messwerte = 0",IF(MAX(D26:R26)&lt;=(0.5*Y26),0.5*Y26,IF(MAX(D26:R26)&lt;=Y26,ROUND(MAX(D26:R26),0),Y26))))))</f>
        <v>-</v>
      </c>
      <c r="AA26" s="87" t="str">
        <f t="shared" ref="AA26:AA46" si="13">IF(AND(ISNUMBER(Z26),OR(V26="homogen",V26="&lt; 50% ZW",AND(V26="inhomogen",S26&gt;=$V$2))),"JA",IF(OR(Z26="-",Z26="Messwerte = 0"),"-",(IF(V26="kein ZW","kein ZW","NEIN"))))</f>
        <v>-</v>
      </c>
      <c r="AB26" s="88" t="str">
        <f>IF(OR(COUNTBLANK(D26:R26)&gt;=14,AA26="JA",AA26="kein ZW",X26="NEIN",Y26="manuell"),"",IF(AND(AA26="NEIN",W26="X"),"n.z.",IF(COUNTIF(D26:R26,"&gt;"&amp;(Y26+0.4999))&gt;(COUNT(D26:R26)*0.2),"NEIN",IF(ROUND(AVERAGE(D26:R26),0)&lt;=Y26,"JA","NEIN"))))</f>
        <v/>
      </c>
      <c r="AC26" s="90" t="str">
        <f>IF(AND(AB26="JA",S26&lt;10),ROUND(LARGE(D26:R26,2),0),IF(AND(AB26="JA",S26&gt;9,S26&lt;15),ROUND(LARGE(D26:R26,3),0),IF(AND(AB26="JA",S26=15),ROUND(LARGE(D26:R26,4),0),"-")))</f>
        <v>-</v>
      </c>
      <c r="AD26" s="90" t="str">
        <f t="shared" si="12"/>
        <v/>
      </c>
      <c r="AE26" s="96" t="str">
        <f t="shared" ref="AE26:AE46" si="14">IF(AD26="JA",ROUND((AVERAGE(D26:R26))+1.65*STDEV(D26:R26)/(SQRT(COUNT(D26:R26))),0),"-")</f>
        <v>-</v>
      </c>
    </row>
    <row r="27" spans="1:33" ht="12.95" customHeight="1" x14ac:dyDescent="0.2">
      <c r="A27" s="68" t="s">
        <v>92</v>
      </c>
      <c r="B27" s="97" t="s">
        <v>93</v>
      </c>
      <c r="C27" s="98" t="s">
        <v>91</v>
      </c>
      <c r="D27" s="121" t="str">
        <f>IF('[1]U-MP1'!E24="","",(--SUBSTITUTE(('[1]U-MP1'!E24),"&lt;","")))</f>
        <v/>
      </c>
      <c r="E27" s="122" t="str">
        <f>IF('[1]U-MP2'!E24="","",(--SUBSTITUTE(('[1]U-MP2'!E24),"&lt;","")))</f>
        <v/>
      </c>
      <c r="F27" s="122" t="str">
        <f>IF('[1]U-MP3'!E24="","",(--SUBSTITUTE(('[1]U-MP3'!E24),"&lt;","")))</f>
        <v/>
      </c>
      <c r="G27" s="122" t="str">
        <f>IF('[1]U-MP4'!E24="","",(--SUBSTITUTE(('[1]U-MP4'!E24),"&lt;","")))</f>
        <v/>
      </c>
      <c r="H27" s="122" t="str">
        <f>IF('[1]U-MP5'!E24="","",(--SUBSTITUTE(('[1]U-MP5'!E24),"&lt;","")))</f>
        <v/>
      </c>
      <c r="I27" s="122" t="str">
        <f>IF('[1]U-MP6'!E24="","",(--SUBSTITUTE(('[1]U-MP6'!E24),"&lt;","")))</f>
        <v/>
      </c>
      <c r="J27" s="122" t="str">
        <f>IF('[1]U-MP7'!E24="","",(--SUBSTITUTE(('[1]U-MP7'!E24),"&lt;","")))</f>
        <v/>
      </c>
      <c r="K27" s="122" t="str">
        <f>IF('[1]U-MP8'!E24="","",(--SUBSTITUTE(('[1]U-MP8'!E24),"&lt;","")))</f>
        <v/>
      </c>
      <c r="L27" s="122" t="str">
        <f>IF('[1]U-MP9'!E24="","",(--SUBSTITUTE(('[1]U-MP9'!E24),"&lt;","")))</f>
        <v/>
      </c>
      <c r="M27" s="122" t="str">
        <f>IF('[1]U-MP10'!E24="","",(--SUBSTITUTE(('[1]U-MP10'!E24),"&lt;","")))</f>
        <v/>
      </c>
      <c r="N27" s="122" t="str">
        <f>IF('[1]U-MP11'!E24="","",(--SUBSTITUTE(('[1]U-MP11'!E24),"&lt;","")))</f>
        <v/>
      </c>
      <c r="O27" s="122" t="str">
        <f>IF('[1]U-MP12'!E24="","",(--SUBSTITUTE(('[1]U-MP12'!E24),"&lt;","")))</f>
        <v/>
      </c>
      <c r="P27" s="122" t="str">
        <f>IF('[1]U-MP13'!E24="","",(--SUBSTITUTE(('[1]U-MP13'!E24),"&lt;","")))</f>
        <v/>
      </c>
      <c r="Q27" s="122" t="str">
        <f>IF('[1]U-MP14'!E24="","",(--SUBSTITUTE(('[1]U-MP14'!E24),"&lt;","")))</f>
        <v/>
      </c>
      <c r="R27" s="123" t="str">
        <f>IF('[1]U-MP15'!E24="","",(--SUBSTITUTE(('[1]U-MP15'!E24),"&lt;","")))</f>
        <v/>
      </c>
      <c r="S27" s="80" t="str">
        <f t="shared" ref="S27:S46" si="15">IF(COUNTBLANK(D27:R27)&lt;15,COUNT(D27:R27),"-")</f>
        <v>-</v>
      </c>
      <c r="T27" s="81" t="str">
        <f t="shared" ref="T27:T46" si="16">IF(COUNTBLANK(D27:R27)&gt;14,"",IF(SUM(D27:R27)=0,"---",AVERAGE(D27:R27)))</f>
        <v/>
      </c>
      <c r="U27" s="82" t="str">
        <f t="shared" ref="U27:U46" si="17">IF(COUNTBLANK(D27:R27)&gt;14,"",IF(COUNT(D27:R27)&lt;2,"---",STDEV(D27:R27)))</f>
        <v/>
      </c>
      <c r="V27" s="83" t="str">
        <f t="shared" ref="V27:V46" si="18">IF(COUNTBLANK(D27:R27)&gt;14,"",IF(COUNTBLANK(D27:R27)=14,"ein Messwert",IF(ISTEXT(Y27),"kein ZW",IF(SUM(D27:R27)=0,"---",IF(MAX(D27:R27)&lt;(0.5*Y27),"&lt; 50% ZW",IF(MAX(D27:R27)&gt;2*MIN(D27:R27),"inhomogen","homogen"))))))</f>
        <v/>
      </c>
      <c r="W27" s="84" t="str">
        <f t="shared" si="10"/>
        <v/>
      </c>
      <c r="X27" s="84" t="str">
        <f t="shared" si="11"/>
        <v>-</v>
      </c>
      <c r="Y27" s="85">
        <f>IF(OR($C$3=""),"",IF($C$3="Z0* IIIA",0.02,IF($C$3="Z0*",0.02,IF($C$3="Z1.1",0.02,IF($C$3="Z1.2",0.04,IF($C$3="Z2",0.1,IF($C$3="DK-0,5","manuell",IF($C$3="DK I",0.2,IF($C$3="DK II",50,IF($C$3="DK III",100,IF($C$3="Reku Spalte 9","",0.1)))))))))))</f>
        <v>0.2</v>
      </c>
      <c r="Z27" s="86" t="str">
        <f>IF(OR(D27="",W27="n.z.",X27="NEIN",Y27="manuell"),"-",IF(Y27="",MAX(D27:R27),IF(ROUND(MAX(D27:R27),1)&gt;Y27,"Überschreitung",IF(V27="---","Messwerte = 0",IF(MAX(D27:R27)&lt;=(0.5*Y27),0.5*Y27,IF(MAX(D27:R27)&lt;=Y27,ROUND(MAX(D27:R27),1),Y27))))))</f>
        <v>-</v>
      </c>
      <c r="AA27" s="87" t="str">
        <f t="shared" si="13"/>
        <v>-</v>
      </c>
      <c r="AB27" s="88" t="str">
        <f>IF(OR(COUNTBLANK(D27:R27)&gt;=14,AA27="JA",AA27="kein ZW",X27="NEIN",Y27="manuell"),"",IF(AND(AA27="NEIN",W27="X"),"n.z.",IF(COUNTIF(D27:R27,"&gt;"&amp;(Y27+0.04999))&gt;(COUNT(D27:R27)*0.2),"NEIN",IF(ROUND(AVERAGE(D27:R27),0)&lt;=Y27,"JA","NEIN"))))</f>
        <v/>
      </c>
      <c r="AC27" s="89" t="str">
        <f>IF(AND(AB27="JA",S27&lt;10),ROUND(LARGE(D27:R27,2),1),IF(AND(AB27="JA",S27&gt;9,S27&lt;15),ROUND(LARGE(D27:R27,3),1),IF(AND(AB27="JA",S27=15),ROUND(LARGE(D27:R27,4),1),"-")))</f>
        <v>-</v>
      </c>
      <c r="AD27" s="90" t="str">
        <f t="shared" si="12"/>
        <v/>
      </c>
      <c r="AE27" s="91" t="str">
        <f t="shared" si="14"/>
        <v>-</v>
      </c>
    </row>
    <row r="28" spans="1:33" x14ac:dyDescent="0.2">
      <c r="A28" s="68" t="s">
        <v>94</v>
      </c>
      <c r="B28" s="97" t="s">
        <v>95</v>
      </c>
      <c r="C28" s="98" t="s">
        <v>91</v>
      </c>
      <c r="D28" s="128" t="str">
        <f>IF('[1]U-MP1'!E25="","",(--SUBSTITUTE(('[1]U-MP1'!E25),"&lt;","")))</f>
        <v/>
      </c>
      <c r="E28" s="129" t="str">
        <f>IF('[1]U-MP2'!E25="","",(--SUBSTITUTE(('[1]U-MP2'!E25),"&lt;","")))</f>
        <v/>
      </c>
      <c r="F28" s="129" t="str">
        <f>IF('[1]U-MP3'!E25="","",(--SUBSTITUTE(('[1]U-MP3'!E25),"&lt;","")))</f>
        <v/>
      </c>
      <c r="G28" s="129" t="str">
        <f>IF('[1]U-MP4'!E25="","",(--SUBSTITUTE(('[1]U-MP4'!E25),"&lt;","")))</f>
        <v/>
      </c>
      <c r="H28" s="129" t="str">
        <f>IF('[1]U-MP5'!E25="","",(--SUBSTITUTE(('[1]U-MP5'!E25),"&lt;","")))</f>
        <v/>
      </c>
      <c r="I28" s="129" t="str">
        <f>IF('[1]U-MP6'!E25="","",(--SUBSTITUTE(('[1]U-MP6'!E25),"&lt;","")))</f>
        <v/>
      </c>
      <c r="J28" s="129" t="str">
        <f>IF('[1]U-MP7'!E25="","",(--SUBSTITUTE(('[1]U-MP7'!E25),"&lt;","")))</f>
        <v/>
      </c>
      <c r="K28" s="129" t="str">
        <f>IF('[1]U-MP8'!E25="","",(--SUBSTITUTE(('[1]U-MP8'!E25),"&lt;","")))</f>
        <v/>
      </c>
      <c r="L28" s="129" t="str">
        <f>IF('[1]U-MP9'!E25="","",(--SUBSTITUTE(('[1]U-MP9'!E25),"&lt;","")))</f>
        <v/>
      </c>
      <c r="M28" s="129" t="str">
        <f>IF('[1]U-MP10'!E25="","",(--SUBSTITUTE(('[1]U-MP10'!E25),"&lt;","")))</f>
        <v/>
      </c>
      <c r="N28" s="129" t="str">
        <f>IF('[1]U-MP11'!E25="","",(--SUBSTITUTE(('[1]U-MP11'!E25),"&lt;","")))</f>
        <v/>
      </c>
      <c r="O28" s="129" t="str">
        <f>IF('[1]U-MP12'!E25="","",(--SUBSTITUTE(('[1]U-MP12'!E25),"&lt;","")))</f>
        <v/>
      </c>
      <c r="P28" s="129" t="str">
        <f>IF('[1]U-MP13'!E25="","",(--SUBSTITUTE(('[1]U-MP13'!E25),"&lt;","")))</f>
        <v/>
      </c>
      <c r="Q28" s="129" t="str">
        <f>IF('[1]U-MP14'!E25="","",(--SUBSTITUTE(('[1]U-MP14'!E25),"&lt;","")))</f>
        <v/>
      </c>
      <c r="R28" s="130" t="str">
        <f>IF('[1]U-MP15'!E25="","",(--SUBSTITUTE(('[1]U-MP15'!E25),"&lt;","")))</f>
        <v/>
      </c>
      <c r="S28" s="80" t="str">
        <f t="shared" si="15"/>
        <v>-</v>
      </c>
      <c r="T28" s="131" t="str">
        <f t="shared" si="16"/>
        <v/>
      </c>
      <c r="U28" s="82" t="str">
        <f t="shared" si="17"/>
        <v/>
      </c>
      <c r="V28" s="83" t="str">
        <f t="shared" si="18"/>
        <v/>
      </c>
      <c r="W28" s="84" t="str">
        <f t="shared" si="10"/>
        <v/>
      </c>
      <c r="X28" s="84" t="str">
        <f t="shared" si="11"/>
        <v>-</v>
      </c>
      <c r="Y28" s="85">
        <f>IF(OR($C$3=""),"",IF($C$3="Z0* IIIA",0.014,IF($C$3="Z0*",0.014,IF($C$3="Z1.1",0.014,IF($C$3="Z1.2",0.02,IF($C$3="Z2",0.06,IF($C$3="DK-0,5","manuell",IF($C$3="DK I",0.2,IF($C$3="DK II",0.2,IF($C$3="DK III",2.5,IF($C$3="Reku Spalte 9",0.01,0.05)))))))))))</f>
        <v>0.2</v>
      </c>
      <c r="Z28" s="132" t="str">
        <f>IF(OR(D28="",W28="n.z.",X28="NEIN",Y28="manuell"),"-",IF(Y28="",MAX(D28:R28),IF(ROUND(MAX(D28:R28),2)&gt;Y28,"Überschreitung",IF(V28="---","Messwerte = 0",IF(MAX(D28:R28)&lt;=(0.5*Y28),0.5*Y28,IF(MAX(D28:R28)&lt;=Y28,ROUND(MAX(D28:R28),2),Y28))))))</f>
        <v>-</v>
      </c>
      <c r="AA28" s="87" t="str">
        <f t="shared" si="13"/>
        <v>-</v>
      </c>
      <c r="AB28" s="88" t="str">
        <f>IF(OR(COUNTBLANK(D28:R28)&gt;=14,AA28="JA",AA28="kein ZW",AA28="-",X28="NEIN",Y28="manuell"),"",IF(AND(AA28="NEIN",W28="X"),"n.z.",IF(COUNTIF(D28:R28,"&gt;"&amp;(Y28+0.004999))&gt;(COUNT(D28:R28)*0.2),"NEIN",IF(ROUND(AVERAGE(D28:R28),0)&lt;=Y28,"JA","NEIN"))))</f>
        <v/>
      </c>
      <c r="AC28" s="133" t="str">
        <f>IF(AND(AB28="JA",S28&lt;10),ROUND(LARGE(D28:R28,2),2),IF(AND(AB28="JA",S28&gt;9,S28&lt;15),ROUND(LARGE(D28:R28,3),2),IF(AND(AB28="JA",S28=15),ROUND(LARGE(D28:R28,4),2),"-")))</f>
        <v>-</v>
      </c>
      <c r="AD28" s="90" t="str">
        <f t="shared" si="12"/>
        <v/>
      </c>
      <c r="AE28" s="134" t="str">
        <f t="shared" si="14"/>
        <v>-</v>
      </c>
    </row>
    <row r="29" spans="1:33" x14ac:dyDescent="0.2">
      <c r="A29" s="68" t="s">
        <v>96</v>
      </c>
      <c r="B29" s="97" t="s">
        <v>71</v>
      </c>
      <c r="C29" s="98" t="s">
        <v>91</v>
      </c>
      <c r="D29" s="128" t="str">
        <f>IF('[1]U-MP1'!E26="","",(--SUBSTITUTE(('[1]U-MP1'!E26),"&lt;","")))</f>
        <v/>
      </c>
      <c r="E29" s="129" t="str">
        <f>IF('[1]U-MP2'!E26="","",(--SUBSTITUTE(('[1]U-MP2'!E26),"&lt;","")))</f>
        <v/>
      </c>
      <c r="F29" s="129" t="str">
        <f>IF('[1]U-MP3'!E26="","",(--SUBSTITUTE(('[1]U-MP3'!E26),"&lt;","")))</f>
        <v/>
      </c>
      <c r="G29" s="129" t="str">
        <f>IF('[1]U-MP4'!E26="","",(--SUBSTITUTE(('[1]U-MP4'!E26),"&lt;","")))</f>
        <v/>
      </c>
      <c r="H29" s="129" t="str">
        <f>IF('[1]U-MP5'!E26="","",(--SUBSTITUTE(('[1]U-MP5'!E26),"&lt;","")))</f>
        <v/>
      </c>
      <c r="I29" s="129" t="str">
        <f>IF('[1]U-MP6'!E26="","",(--SUBSTITUTE(('[1]U-MP6'!E26),"&lt;","")))</f>
        <v/>
      </c>
      <c r="J29" s="129" t="str">
        <f>IF('[1]U-MP7'!E26="","",(--SUBSTITUTE(('[1]U-MP7'!E26),"&lt;","")))</f>
        <v/>
      </c>
      <c r="K29" s="129" t="str">
        <f>IF('[1]U-MP8'!E26="","",(--SUBSTITUTE(('[1]U-MP8'!E26),"&lt;","")))</f>
        <v/>
      </c>
      <c r="L29" s="129" t="str">
        <f>IF('[1]U-MP9'!E26="","",(--SUBSTITUTE(('[1]U-MP9'!E26),"&lt;","")))</f>
        <v/>
      </c>
      <c r="M29" s="129" t="str">
        <f>IF('[1]U-MP10'!E26="","",(--SUBSTITUTE(('[1]U-MP10'!E26),"&lt;","")))</f>
        <v/>
      </c>
      <c r="N29" s="129" t="str">
        <f>IF('[1]U-MP11'!E26="","",(--SUBSTITUTE(('[1]U-MP11'!E26),"&lt;","")))</f>
        <v/>
      </c>
      <c r="O29" s="129" t="str">
        <f>IF('[1]U-MP12'!E26="","",(--SUBSTITUTE(('[1]U-MP12'!E26),"&lt;","")))</f>
        <v/>
      </c>
      <c r="P29" s="129" t="str">
        <f>IF('[1]U-MP13'!E26="","",(--SUBSTITUTE(('[1]U-MP13'!E26),"&lt;","")))</f>
        <v/>
      </c>
      <c r="Q29" s="129" t="str">
        <f>IF('[1]U-MP14'!E26="","",(--SUBSTITUTE(('[1]U-MP14'!E26),"&lt;","")))</f>
        <v/>
      </c>
      <c r="R29" s="130" t="str">
        <f>IF('[1]U-MP15'!E26="","",(--SUBSTITUTE(('[1]U-MP15'!E26),"&lt;","")))</f>
        <v/>
      </c>
      <c r="S29" s="80" t="str">
        <f t="shared" si="15"/>
        <v>-</v>
      </c>
      <c r="T29" s="131" t="str">
        <f t="shared" si="16"/>
        <v/>
      </c>
      <c r="U29" s="82" t="str">
        <f t="shared" si="17"/>
        <v/>
      </c>
      <c r="V29" s="83" t="str">
        <f t="shared" si="18"/>
        <v/>
      </c>
      <c r="W29" s="84" t="str">
        <f t="shared" si="10"/>
        <v/>
      </c>
      <c r="X29" s="84" t="str">
        <f t="shared" si="11"/>
        <v>-</v>
      </c>
      <c r="Y29" s="85">
        <f>IF(OR($C$3=""),"",IF($C$3="Z0* IIIA",0.04,IF($C$3="Z0*",0.04,IF($C$3="Z1.1",0.04,IF($C$3="Z1.2",0.08,IF($C$3="Z2",0.2,IF($C$3="DK-0,5","manuell",IF($C$3="DK I",0.2,IF($C$3="DK II",1,IF($C$3="DK III",5,IF($C$3="Reku Spalte 9",0.04,0.05)))))))))))</f>
        <v>0.2</v>
      </c>
      <c r="Z29" s="132" t="str">
        <f>IF(OR(D29="",W29="n.z.",X29="NEIN",Y29="manuell"),"-",IF(Y29="",MAX(D29:R29),IF(ROUND(MAX(D29:R29),2)&gt;Y29,"Überschreitung",IF(V29="---","Messwerte = 0",IF(MAX(D29:R29)&lt;=(0.5*Y29),0.5*Y29,IF(MAX(D29:R29)&lt;=Y29,ROUND(MAX(D29:R29),2),Y29))))))</f>
        <v>-</v>
      </c>
      <c r="AA29" s="87" t="str">
        <f t="shared" si="13"/>
        <v>-</v>
      </c>
      <c r="AB29" s="88" t="str">
        <f>IF(OR(COUNTBLANK(D29:R29)&gt;=14,AA29="JA",AA29="kein ZW",X29="NEIN",Y29="manuell"),"",IF(AND(AA29="NEIN",W29="X"),"n.z.",IF(COUNTIF(D29:R29,"&gt;"&amp;(Y29+0.004999))&gt;(COUNT(D29:R29)*0.2),"NEIN",IF(ROUND(AVERAGE(D29:R29),0)&lt;=Y29,"JA","NEIN"))))</f>
        <v/>
      </c>
      <c r="AC29" s="133" t="str">
        <f>IF(AND(AB29="JA",S29&lt;10),ROUND(LARGE(D29:R29,2),2),IF(AND(AB29="JA",S29&gt;9,S29&lt;15),ROUND(LARGE(D29:R29,3),2),IF(AND(AB29="JA",S29=15),ROUND(LARGE(D29:R29,4),2),"-")))</f>
        <v>-</v>
      </c>
      <c r="AD29" s="90" t="str">
        <f t="shared" si="12"/>
        <v/>
      </c>
      <c r="AE29" s="134" t="str">
        <f t="shared" si="14"/>
        <v>-</v>
      </c>
    </row>
    <row r="30" spans="1:33" x14ac:dyDescent="0.2">
      <c r="A30" s="68" t="s">
        <v>97</v>
      </c>
      <c r="B30" s="97" t="s">
        <v>73</v>
      </c>
      <c r="C30" s="98" t="s">
        <v>91</v>
      </c>
      <c r="D30" s="128" t="str">
        <f>IF('[1]U-MP1'!E27="","",(--SUBSTITUTE(('[1]U-MP1'!E27),"&lt;","")))</f>
        <v/>
      </c>
      <c r="E30" s="129" t="str">
        <f>IF('[1]U-MP2'!E27="","",(--SUBSTITUTE(('[1]U-MP2'!E27),"&lt;","")))</f>
        <v/>
      </c>
      <c r="F30" s="129" t="str">
        <f>IF('[1]U-MP3'!E27="","",(--SUBSTITUTE(('[1]U-MP3'!E27),"&lt;","")))</f>
        <v/>
      </c>
      <c r="G30" s="129" t="str">
        <f>IF('[1]U-MP4'!E27="","",(--SUBSTITUTE(('[1]U-MP4'!E27),"&lt;","")))</f>
        <v/>
      </c>
      <c r="H30" s="129" t="str">
        <f>IF('[1]U-MP5'!E27="","",(--SUBSTITUTE(('[1]U-MP5'!E27),"&lt;","")))</f>
        <v/>
      </c>
      <c r="I30" s="129" t="str">
        <f>IF('[1]U-MP6'!E27="","",(--SUBSTITUTE(('[1]U-MP6'!E27),"&lt;","")))</f>
        <v/>
      </c>
      <c r="J30" s="129" t="str">
        <f>IF('[1]U-MP7'!E27="","",(--SUBSTITUTE(('[1]U-MP7'!E27),"&lt;","")))</f>
        <v/>
      </c>
      <c r="K30" s="129" t="str">
        <f>IF('[1]U-MP8'!E27="","",(--SUBSTITUTE(('[1]U-MP8'!E27),"&lt;","")))</f>
        <v/>
      </c>
      <c r="L30" s="129" t="str">
        <f>IF('[1]U-MP9'!E27="","",(--SUBSTITUTE(('[1]U-MP9'!E27),"&lt;","")))</f>
        <v/>
      </c>
      <c r="M30" s="129" t="str">
        <f>IF('[1]U-MP10'!E27="","",(--SUBSTITUTE(('[1]U-MP10'!E27),"&lt;","")))</f>
        <v/>
      </c>
      <c r="N30" s="129" t="str">
        <f>IF('[1]U-MP11'!E27="","",(--SUBSTITUTE(('[1]U-MP11'!E27),"&lt;","")))</f>
        <v/>
      </c>
      <c r="O30" s="129" t="str">
        <f>IF('[1]U-MP12'!E27="","",(--SUBSTITUTE(('[1]U-MP12'!E27),"&lt;","")))</f>
        <v/>
      </c>
      <c r="P30" s="129" t="str">
        <f>IF('[1]U-MP13'!E27="","",(--SUBSTITUTE(('[1]U-MP13'!E27),"&lt;","")))</f>
        <v/>
      </c>
      <c r="Q30" s="129" t="str">
        <f>IF('[1]U-MP14'!E27="","",(--SUBSTITUTE(('[1]U-MP14'!E27),"&lt;","")))</f>
        <v/>
      </c>
      <c r="R30" s="130" t="str">
        <f>IF('[1]U-MP15'!E27="","",(--SUBSTITUTE(('[1]U-MP15'!E27),"&lt;","")))</f>
        <v/>
      </c>
      <c r="S30" s="80" t="str">
        <f t="shared" si="15"/>
        <v>-</v>
      </c>
      <c r="T30" s="131" t="str">
        <f t="shared" si="16"/>
        <v/>
      </c>
      <c r="U30" s="82" t="str">
        <f t="shared" si="17"/>
        <v/>
      </c>
      <c r="V30" s="83" t="str">
        <f t="shared" si="18"/>
        <v/>
      </c>
      <c r="W30" s="84" t="str">
        <f t="shared" si="10"/>
        <v/>
      </c>
      <c r="X30" s="84" t="str">
        <f t="shared" si="11"/>
        <v>-</v>
      </c>
      <c r="Y30" s="85">
        <f>IF(OR($C$3=""),"",IF($C$3="Z0* IIIA",0.0015,IF($C$3="Z0*",0.0015,IF($C$3="Z1.1",0.0015,IF($C$3="Z1.2",0.003,IF($C$3="Z2",0.006,IF($C$3="DK-0,5","manuell",IF($C$3="DK I",0.05,IF($C$3="DK II",0.1,IF($C$3="DK III",0.5,IF($C$3="Reku Spalte 9",0.002,0.004)))))))))))</f>
        <v>0.05</v>
      </c>
      <c r="Z30" s="135" t="str">
        <f>IF(OR(D30="",W30="n.z.",X30="NEIN",Y30="manuell"),"-",IF(Y30="",MAX(D30:R30),IF(ROUND(MAX(D30:R30),3)&gt;Y30,"Überschreitung",IF(V30="---","Messwerte = 0",IF(MAX(D30:R30)&lt;=(0.5*Y30),0.5*Y30,IF(MAX(D30:R30)&lt;=Y30,ROUND(MAX(D30:R30),3),Y30))))))</f>
        <v>-</v>
      </c>
      <c r="AA30" s="87" t="str">
        <f t="shared" si="13"/>
        <v>-</v>
      </c>
      <c r="AB30" s="88" t="str">
        <f>IF(OR(COUNTBLANK(D30:R30)&gt;=14,AA30="JA",AA30="kein ZW",X30="NEIN",Y30="manuell"),"",IF(AND(AA30="NEIN",W30="X"),"n.z.",IF(COUNTIF(D30:R30,"&gt;"&amp;(Y30+0.0004999))&gt;(COUNT(D30:R30)*0.2),"NEIN",IF(ROUND(AVERAGE(D30:R30),0)&lt;=Y30,"JA","NEIN"))))</f>
        <v/>
      </c>
      <c r="AC30" s="136" t="str">
        <f>IF(AND(AB30="JA",S30&lt;10),ROUND(LARGE(D30:R30,2),3),IF(AND(AB30="JA",S30&gt;9,S30&lt;15),ROUND(LARGE(D30:R30,3),3),IF(AND(AB30="JA",S30=15),ROUND(LARGE(D30:R30,4),3),"-")))</f>
        <v>-</v>
      </c>
      <c r="AD30" s="90" t="str">
        <f t="shared" si="12"/>
        <v/>
      </c>
      <c r="AE30" s="137" t="str">
        <f t="shared" si="14"/>
        <v>-</v>
      </c>
    </row>
    <row r="31" spans="1:33" x14ac:dyDescent="0.2">
      <c r="A31" s="68" t="s">
        <v>98</v>
      </c>
      <c r="B31" s="97" t="s">
        <v>77</v>
      </c>
      <c r="C31" s="98" t="s">
        <v>91</v>
      </c>
      <c r="D31" s="128" t="str">
        <f>IF('[1]U-MP1'!E28="","",(--SUBSTITUTE(('[1]U-MP1'!E28),"&lt;","")))</f>
        <v/>
      </c>
      <c r="E31" s="129" t="str">
        <f>IF('[1]U-MP2'!E28="","",(--SUBSTITUTE(('[1]U-MP2'!E28),"&lt;","")))</f>
        <v/>
      </c>
      <c r="F31" s="129" t="str">
        <f>IF('[1]U-MP3'!E28="","",(--SUBSTITUTE(('[1]U-MP3'!E28),"&lt;","")))</f>
        <v/>
      </c>
      <c r="G31" s="129" t="str">
        <f>IF('[1]U-MP4'!E28="","",(--SUBSTITUTE(('[1]U-MP4'!E28),"&lt;","")))</f>
        <v/>
      </c>
      <c r="H31" s="129" t="str">
        <f>IF('[1]U-MP5'!E28="","",(--SUBSTITUTE(('[1]U-MP5'!E28),"&lt;","")))</f>
        <v/>
      </c>
      <c r="I31" s="129" t="str">
        <f>IF('[1]U-MP6'!E28="","",(--SUBSTITUTE(('[1]U-MP6'!E28),"&lt;","")))</f>
        <v/>
      </c>
      <c r="J31" s="129" t="str">
        <f>IF('[1]U-MP7'!E28="","",(--SUBSTITUTE(('[1]U-MP7'!E28),"&lt;","")))</f>
        <v/>
      </c>
      <c r="K31" s="129" t="str">
        <f>IF('[1]U-MP8'!E28="","",(--SUBSTITUTE(('[1]U-MP8'!E28),"&lt;","")))</f>
        <v/>
      </c>
      <c r="L31" s="129" t="str">
        <f>IF('[1]U-MP9'!E28="","",(--SUBSTITUTE(('[1]U-MP9'!E28),"&lt;","")))</f>
        <v/>
      </c>
      <c r="M31" s="129" t="str">
        <f>IF('[1]U-MP10'!E28="","",(--SUBSTITUTE(('[1]U-MP10'!E28),"&lt;","")))</f>
        <v/>
      </c>
      <c r="N31" s="129" t="str">
        <f>IF('[1]U-MP11'!E28="","",(--SUBSTITUTE(('[1]U-MP11'!E28),"&lt;","")))</f>
        <v/>
      </c>
      <c r="O31" s="129" t="str">
        <f>IF('[1]U-MP12'!E28="","",(--SUBSTITUTE(('[1]U-MP12'!E28),"&lt;","")))</f>
        <v/>
      </c>
      <c r="P31" s="129" t="str">
        <f>IF('[1]U-MP13'!E28="","",(--SUBSTITUTE(('[1]U-MP13'!E28),"&lt;","")))</f>
        <v/>
      </c>
      <c r="Q31" s="129" t="str">
        <f>IF('[1]U-MP14'!E28="","",(--SUBSTITUTE(('[1]U-MP14'!E28),"&lt;","")))</f>
        <v/>
      </c>
      <c r="R31" s="130" t="str">
        <f>IF('[1]U-MP15'!E28="","",(--SUBSTITUTE(('[1]U-MP15'!E28),"&lt;","")))</f>
        <v/>
      </c>
      <c r="S31" s="80" t="str">
        <f t="shared" si="15"/>
        <v>-</v>
      </c>
      <c r="T31" s="131" t="str">
        <f t="shared" si="16"/>
        <v/>
      </c>
      <c r="U31" s="82" t="str">
        <f t="shared" si="17"/>
        <v/>
      </c>
      <c r="V31" s="83" t="str">
        <f t="shared" si="18"/>
        <v/>
      </c>
      <c r="W31" s="84" t="str">
        <f t="shared" si="10"/>
        <v/>
      </c>
      <c r="X31" s="84" t="str">
        <f t="shared" si="11"/>
        <v>-</v>
      </c>
      <c r="Y31" s="85">
        <f>IF(OR($C$3=""),"",IF($C$3="Z0* IIIA",0.02,IF($C$3="Z0*",0.02,IF($C$3="Z1.1",0.02,IF($C$3="Z1.2",0.06,IF($C$3="Z2",0.1,IF($C$3="DK-0,5","manuell",IF($C$3="DK I",1,IF($C$3="DK II",5,IF($C$3="DK III",10,IF($C$3="Reku Spalte 9",0.05,0.2)))))))))))</f>
        <v>1</v>
      </c>
      <c r="Z31" s="86" t="str">
        <f>IF(OR(D31="",W31="n.z.",X31="NEIN",Y31="manuell"),"-",IF(Y31="",MAX(D31:R31),IF(ROUND(MAX(D31:R31),1)&gt;Y31,"Überschreitung",IF(V31="---","Messwerte = 0",IF(MAX(D31:R31)&lt;=(0.5*Y31),0.5*Y31,IF(MAX(D31:R31)&lt;=Y31,ROUND(MAX(D31:R31),1),Y31))))))</f>
        <v>-</v>
      </c>
      <c r="AA31" s="87" t="str">
        <f t="shared" si="13"/>
        <v>-</v>
      </c>
      <c r="AB31" s="88" t="str">
        <f>IF(OR(COUNTBLANK(D31:R31)&gt;=14,AA31="JA",AA31="kein ZW",X31="NEIN",Y31="manuell"),"",IF(AND(AA31="NEIN",W31="X"),"n.z.",IF(COUNTIF(D31:R31,"&gt;"&amp;(Y31+0.04999))&gt;(COUNT(D31:R31)*0.2),"NEIN",IF(ROUND(AVERAGE(D31:R31),0)&lt;=Y31,"JA","NEIN"))))</f>
        <v/>
      </c>
      <c r="AC31" s="89" t="str">
        <f>IF(AND(AB31="JA",S31&lt;10),ROUND(LARGE(D31:R31,2),1),IF(AND(AB31="JA",S31&gt;9,S31&lt;15),ROUND(LARGE(D31:R31,3),1),IF(AND(AB31="JA",S31=15),ROUND(LARGE(D31:R31,4),1),"-")))</f>
        <v>-</v>
      </c>
      <c r="AD31" s="90" t="str">
        <f t="shared" si="12"/>
        <v/>
      </c>
      <c r="AE31" s="91" t="str">
        <f t="shared" si="14"/>
        <v>-</v>
      </c>
    </row>
    <row r="32" spans="1:33" x14ac:dyDescent="0.2">
      <c r="A32" s="68" t="s">
        <v>99</v>
      </c>
      <c r="B32" s="97" t="s">
        <v>79</v>
      </c>
      <c r="C32" s="98" t="s">
        <v>91</v>
      </c>
      <c r="D32" s="128" t="str">
        <f>IF('[1]U-MP1'!E29="","",(--SUBSTITUTE(('[1]U-MP1'!E29),"&lt;","")))</f>
        <v/>
      </c>
      <c r="E32" s="129" t="str">
        <f>IF('[1]U-MP2'!E29="","",(--SUBSTITUTE(('[1]U-MP2'!E29),"&lt;","")))</f>
        <v/>
      </c>
      <c r="F32" s="129" t="str">
        <f>IF('[1]U-MP3'!E29="","",(--SUBSTITUTE(('[1]U-MP3'!E29),"&lt;","")))</f>
        <v/>
      </c>
      <c r="G32" s="129" t="str">
        <f>IF('[1]U-MP4'!E29="","",(--SUBSTITUTE(('[1]U-MP4'!E29),"&lt;","")))</f>
        <v/>
      </c>
      <c r="H32" s="129" t="str">
        <f>IF('[1]U-MP5'!E29="","",(--SUBSTITUTE(('[1]U-MP5'!E29),"&lt;","")))</f>
        <v/>
      </c>
      <c r="I32" s="129" t="str">
        <f>IF('[1]U-MP6'!E29="","",(--SUBSTITUTE(('[1]U-MP6'!E29),"&lt;","")))</f>
        <v/>
      </c>
      <c r="J32" s="129" t="str">
        <f>IF('[1]U-MP7'!E29="","",(--SUBSTITUTE(('[1]U-MP7'!E29),"&lt;","")))</f>
        <v/>
      </c>
      <c r="K32" s="129" t="str">
        <f>IF('[1]U-MP8'!E29="","",(--SUBSTITUTE(('[1]U-MP8'!E29),"&lt;","")))</f>
        <v/>
      </c>
      <c r="L32" s="129" t="str">
        <f>IF('[1]U-MP9'!E29="","",(--SUBSTITUTE(('[1]U-MP9'!E29),"&lt;","")))</f>
        <v/>
      </c>
      <c r="M32" s="129" t="str">
        <f>IF('[1]U-MP10'!E29="","",(--SUBSTITUTE(('[1]U-MP10'!E29),"&lt;","")))</f>
        <v/>
      </c>
      <c r="N32" s="129" t="str">
        <f>IF('[1]U-MP11'!E29="","",(--SUBSTITUTE(('[1]U-MP11'!E29),"&lt;","")))</f>
        <v/>
      </c>
      <c r="O32" s="129" t="str">
        <f>IF('[1]U-MP12'!E29="","",(--SUBSTITUTE(('[1]U-MP12'!E29),"&lt;","")))</f>
        <v/>
      </c>
      <c r="P32" s="129" t="str">
        <f>IF('[1]U-MP13'!E29="","",(--SUBSTITUTE(('[1]U-MP13'!E29),"&lt;","")))</f>
        <v/>
      </c>
      <c r="Q32" s="129" t="str">
        <f>IF('[1]U-MP14'!E29="","",(--SUBSTITUTE(('[1]U-MP14'!E29),"&lt;","")))</f>
        <v/>
      </c>
      <c r="R32" s="130" t="str">
        <f>IF('[1]U-MP15'!E29="","",(--SUBSTITUTE(('[1]U-MP15'!E29),"&lt;","")))</f>
        <v/>
      </c>
      <c r="S32" s="80" t="str">
        <f t="shared" si="15"/>
        <v>-</v>
      </c>
      <c r="T32" s="131" t="str">
        <f t="shared" si="16"/>
        <v/>
      </c>
      <c r="U32" s="82" t="str">
        <f t="shared" si="17"/>
        <v/>
      </c>
      <c r="V32" s="83" t="str">
        <f t="shared" si="18"/>
        <v/>
      </c>
      <c r="W32" s="84" t="str">
        <f t="shared" si="10"/>
        <v/>
      </c>
      <c r="X32" s="84" t="str">
        <f t="shared" si="11"/>
        <v>-</v>
      </c>
      <c r="Y32" s="85">
        <f>IF(OR($C$3=""),"",IF($C$3="Z0* IIIA",0.015,IF($C$3="Z0*",0.015,IF($C$3="Z1.1",0.015,IF($C$3="Z1.2",0.02,IF($C$3="Z2",0.07,IF($C$3="DK-0,5","manuell",IF($C$3="DK I",0.2,IF($C$3="DK II",1,IF($C$3="DK III",4,IF($C$3="Reku Spalte 9",0.05,0.04)))))))))))</f>
        <v>0.2</v>
      </c>
      <c r="Z32" s="132" t="str">
        <f>IF(OR(D32="",W32="n.z.",X32="NEIN",Y32="manuell"),"-",IF(Y32="",MAX(D32:R32),IF(ROUND(MAX(D32:R32),3)&gt;Y32,"Überschreitung",IF(V32="---","Messwerte = 0",IF(MAX(D32:R32)&lt;=(0.5*Y32),0.5*Y32,IF(MAX(D32:R32)&lt;=Y32,ROUND(MAX(D32:R32),3),Y32))))))</f>
        <v>-</v>
      </c>
      <c r="AA32" s="87" t="str">
        <f t="shared" si="13"/>
        <v>-</v>
      </c>
      <c r="AB32" s="88" t="str">
        <f>IF(OR(COUNTBLANK(D32:R32)&gt;=14,AA32="JA",AA32="kein ZW",X32="NEIN",Y32="manuell"),"",IF(AND(AA32="NEIN",W32="X"),"n.z.",IF(COUNTIF(D32:R32,"&gt;"&amp;(Y32+0.004999))&gt;(COUNT(D32:R32)*0.2),"NEIN",IF(ROUND(AVERAGE(D32:R32),0)&lt;=Y32,"JA","NEIN"))))</f>
        <v/>
      </c>
      <c r="AC32" s="133" t="str">
        <f>IF(AND(AB32="JA",S32&lt;10),ROUND(LARGE(D32:R32,2),2),IF(AND(AB32="JA",S32&gt;9,S32&lt;15),ROUND(LARGE(D32:R32,3),2),IF(AND(AB32="JA",S32=15),ROUND(LARGE(D32:R32,4),2),"-")))</f>
        <v>-</v>
      </c>
      <c r="AD32" s="90" t="str">
        <f t="shared" si="12"/>
        <v/>
      </c>
      <c r="AE32" s="134" t="str">
        <f t="shared" si="14"/>
        <v>-</v>
      </c>
    </row>
    <row r="33" spans="1:31" x14ac:dyDescent="0.2">
      <c r="A33" s="68" t="s">
        <v>100</v>
      </c>
      <c r="B33" s="97" t="s">
        <v>81</v>
      </c>
      <c r="C33" s="98" t="s">
        <v>91</v>
      </c>
      <c r="D33" s="138" t="str">
        <f>IF('[1]U-MP1'!E30="","",(--SUBSTITUTE(('[1]U-MP1'!E30),"&lt;","")))</f>
        <v/>
      </c>
      <c r="E33" s="139" t="str">
        <f>IF('[1]U-MP2'!E30="","",(--SUBSTITUTE(('[1]U-MP2'!E30),"&lt;","")))</f>
        <v/>
      </c>
      <c r="F33" s="139" t="str">
        <f>IF('[1]U-MP3'!E30="","",(--SUBSTITUTE(('[1]U-MP3'!E30),"&lt;","")))</f>
        <v/>
      </c>
      <c r="G33" s="139" t="str">
        <f>IF('[1]U-MP4'!E30="","",(--SUBSTITUTE(('[1]U-MP4'!E30),"&lt;","")))</f>
        <v/>
      </c>
      <c r="H33" s="139" t="str">
        <f>IF('[1]U-MP5'!E30="","",(--SUBSTITUTE(('[1]U-MP5'!E30),"&lt;","")))</f>
        <v/>
      </c>
      <c r="I33" s="139" t="str">
        <f>IF('[1]U-MP6'!E30="","",(--SUBSTITUTE(('[1]U-MP6'!E30),"&lt;","")))</f>
        <v/>
      </c>
      <c r="J33" s="139" t="str">
        <f>IF('[1]U-MP7'!E30="","",(--SUBSTITUTE(('[1]U-MP7'!E30),"&lt;","")))</f>
        <v/>
      </c>
      <c r="K33" s="139" t="str">
        <f>IF('[1]U-MP8'!E30="","",(--SUBSTITUTE(('[1]U-MP8'!E30),"&lt;","")))</f>
        <v/>
      </c>
      <c r="L33" s="139" t="str">
        <f>IF('[1]U-MP9'!E30="","",(--SUBSTITUTE(('[1]U-MP9'!E30),"&lt;","")))</f>
        <v/>
      </c>
      <c r="M33" s="139" t="str">
        <f>IF('[1]U-MP10'!E30="","",(--SUBSTITUTE(('[1]U-MP10'!E30),"&lt;","")))</f>
        <v/>
      </c>
      <c r="N33" s="139" t="str">
        <f>IF('[1]U-MP11'!E30="","",(--SUBSTITUTE(('[1]U-MP11'!E30),"&lt;","")))</f>
        <v/>
      </c>
      <c r="O33" s="139" t="str">
        <f>IF('[1]U-MP12'!E30="","",(--SUBSTITUTE(('[1]U-MP12'!E30),"&lt;","")))</f>
        <v/>
      </c>
      <c r="P33" s="139" t="str">
        <f>IF('[1]U-MP13'!E30="","",(--SUBSTITUTE(('[1]U-MP13'!E30),"&lt;","")))</f>
        <v/>
      </c>
      <c r="Q33" s="139" t="str">
        <f>IF('[1]U-MP14'!E30="","",(--SUBSTITUTE(('[1]U-MP14'!E30),"&lt;","")))</f>
        <v/>
      </c>
      <c r="R33" s="140" t="str">
        <f>IF('[1]U-MP15'!E30="","",(--SUBSTITUTE(('[1]U-MP15'!E30),"&lt;","")))</f>
        <v/>
      </c>
      <c r="S33" s="80" t="str">
        <f t="shared" si="15"/>
        <v>-</v>
      </c>
      <c r="T33" s="141" t="str">
        <f t="shared" si="16"/>
        <v/>
      </c>
      <c r="U33" s="82" t="str">
        <f t="shared" si="17"/>
        <v/>
      </c>
      <c r="V33" s="83" t="str">
        <f t="shared" si="18"/>
        <v/>
      </c>
      <c r="W33" s="84" t="str">
        <f t="shared" si="10"/>
        <v/>
      </c>
      <c r="X33" s="84" t="str">
        <f t="shared" si="11"/>
        <v>-</v>
      </c>
      <c r="Y33" s="85">
        <f>IF(OR($C$3=""),"",IF($C$3="Z0* IIIA",0.0005,IF($C$3="Z0*",0.0005,IF($C$3="Z1.1",0.0005,IF($C$3="Z1.2",0.001,IF($C$3="Z2",0.002,IF($C$3="DK-0,5","manuell",IF($C$3="DK I",0.005,IF($C$3="DK II",0.02,IF($C$3="DK III",0.2,IF($C$3="Reku Spalte 9",0.0002,0.001)))))))))))</f>
        <v>5.0000000000000001E-3</v>
      </c>
      <c r="Z33" s="135" t="str">
        <f>IF(OR(D33="",W33="n.z.",X33="NEIN",Y33="manuell"),"-",IF(Y33="",MAX(D33:R33),IF(ROUND(MAX(D33:R33),3)&gt;Y33,"Überschreitung",IF(V33="---","Messwerte = 0",IF(MAX(D33:R33)&lt;=(0.5*Y33),0.5*Y33,IF(MAX(D33:R33)&lt;=Y33,ROUND(MAX(D33:R33),3),Y33))))))</f>
        <v>-</v>
      </c>
      <c r="AA33" s="87" t="str">
        <f t="shared" si="13"/>
        <v>-</v>
      </c>
      <c r="AB33" s="88" t="str">
        <f>IF(OR(COUNTBLANK(D33:R33)&gt;=14,AA33="JA",AA33="kein ZW",X33="NEIN",Y33="manuell"),"",IF(AND(AA33="NEIN",W33="X"),"n.z.",IF(COUNTIF(D33:R33,"&gt;"&amp;(Y33+0.0004999))&gt;(COUNT(D33:R33)*0.2),"NEIN",IF(ROUND(AVERAGE(D33:R33),0)&lt;=Y33,"JA","NEIN"))))</f>
        <v/>
      </c>
      <c r="AC33" s="136" t="str">
        <f>IF(AND(AB33="JA",S33&lt;10),ROUND(LARGE(D33:R33,2),3),IF(AND(AB33="JA",S33&gt;9,S33&lt;15),ROUND(LARGE(D33:R33,3),3),IF(AND(AB33="JA",S33=15),ROUND(LARGE(D33:R33,4),3),"-")))</f>
        <v>-</v>
      </c>
      <c r="AD33" s="90" t="str">
        <f t="shared" si="12"/>
        <v/>
      </c>
      <c r="AE33" s="137" t="str">
        <f t="shared" si="14"/>
        <v>-</v>
      </c>
    </row>
    <row r="34" spans="1:31" x14ac:dyDescent="0.2">
      <c r="A34" s="68" t="s">
        <v>101</v>
      </c>
      <c r="B34" s="97" t="s">
        <v>83</v>
      </c>
      <c r="C34" s="98" t="s">
        <v>91</v>
      </c>
      <c r="D34" s="121" t="str">
        <f>IF('[1]U-MP1'!E31="","",(--SUBSTITUTE(('[1]U-MP1'!E31),"&lt;","")))</f>
        <v/>
      </c>
      <c r="E34" s="122" t="str">
        <f>IF('[1]U-MP2'!E31="","",(--SUBSTITUTE(('[1]U-MP2'!E31),"&lt;","")))</f>
        <v/>
      </c>
      <c r="F34" s="122" t="str">
        <f>IF('[1]U-MP3'!E31="","",(--SUBSTITUTE(('[1]U-MP3'!E31),"&lt;","")))</f>
        <v/>
      </c>
      <c r="G34" s="122" t="str">
        <f>IF('[1]U-MP4'!E31="","",(--SUBSTITUTE(('[1]U-MP4'!E31),"&lt;","")))</f>
        <v/>
      </c>
      <c r="H34" s="122" t="str">
        <f>IF('[1]U-MP5'!E31="","",(--SUBSTITUTE(('[1]U-MP5'!E31),"&lt;","")))</f>
        <v/>
      </c>
      <c r="I34" s="122" t="str">
        <f>IF('[1]U-MP6'!E31="","",(--SUBSTITUTE(('[1]U-MP6'!E31),"&lt;","")))</f>
        <v/>
      </c>
      <c r="J34" s="122" t="str">
        <f>IF('[1]U-MP7'!E31="","",(--SUBSTITUTE(('[1]U-MP7'!E31),"&lt;","")))</f>
        <v/>
      </c>
      <c r="K34" s="122" t="str">
        <f>IF('[1]U-MP8'!E31="","",(--SUBSTITUTE(('[1]U-MP8'!E31),"&lt;","")))</f>
        <v/>
      </c>
      <c r="L34" s="122" t="str">
        <f>IF('[1]U-MP9'!E31="","",(--SUBSTITUTE(('[1]U-MP9'!E31),"&lt;","")))</f>
        <v/>
      </c>
      <c r="M34" s="122" t="str">
        <f>IF('[1]U-MP10'!E31="","",(--SUBSTITUTE(('[1]U-MP10'!E31),"&lt;","")))</f>
        <v/>
      </c>
      <c r="N34" s="122" t="str">
        <f>IF('[1]U-MP11'!E31="","",(--SUBSTITUTE(('[1]U-MP11'!E31),"&lt;","")))</f>
        <v/>
      </c>
      <c r="O34" s="122" t="str">
        <f>IF('[1]U-MP12'!E31="","",(--SUBSTITUTE(('[1]U-MP12'!E31),"&lt;","")))</f>
        <v/>
      </c>
      <c r="P34" s="122" t="str">
        <f>IF('[1]U-MP13'!E31="","",(--SUBSTITUTE(('[1]U-MP13'!E31),"&lt;","")))</f>
        <v/>
      </c>
      <c r="Q34" s="122" t="str">
        <f>IF('[1]U-MP14'!E31="","",(--SUBSTITUTE(('[1]U-MP14'!E31),"&lt;","")))</f>
        <v/>
      </c>
      <c r="R34" s="123" t="str">
        <f>IF('[1]U-MP15'!E31="","",(--SUBSTITUTE(('[1]U-MP15'!E31),"&lt;","")))</f>
        <v/>
      </c>
      <c r="S34" s="80" t="str">
        <f t="shared" si="15"/>
        <v>-</v>
      </c>
      <c r="T34" s="81" t="str">
        <f t="shared" si="16"/>
        <v/>
      </c>
      <c r="U34" s="82" t="str">
        <f t="shared" si="17"/>
        <v/>
      </c>
      <c r="V34" s="83" t="str">
        <f t="shared" si="18"/>
        <v/>
      </c>
      <c r="W34" s="84" t="str">
        <f t="shared" si="10"/>
        <v/>
      </c>
      <c r="X34" s="84" t="str">
        <f t="shared" si="11"/>
        <v>-</v>
      </c>
      <c r="Y34" s="85">
        <f>IF(OR($C$3=""),"",IF($C$3="Z0* IIIA",0.15,IF($C$3="Z0*",0.15,IF($C$3="Z1.1",0.15,IF($C$3="Z1.2",0.2,IF($C$3="Z2",0.6,IF($C$3="DK-0,5","manuell",IF($C$3="DK I",2,IF($C$3="DK II",5,IF($C$3="DK III",20,IF($C$3="Reku Spalte 9",0.1,0.4)))))))))))</f>
        <v>2</v>
      </c>
      <c r="Z34" s="86" t="str">
        <f>IF(OR(D34="",W34="n.z.",X34="NEIN",Y34="manuell"),"-",IF(Y34="",MAX(D34:R34),IF(ROUND(MAX(D34:R34),1)&gt;Y34,"Überschreitung",IF(V34="---","Messwerte = 0",IF(MAX(D34:R34)&lt;=(0.5*Y34),0.5*Y34,IF(MAX(D34:R34)&lt;=Y34,ROUND(MAX(D34:R34),1),Y34))))))</f>
        <v>-</v>
      </c>
      <c r="AA34" s="87" t="str">
        <f t="shared" si="13"/>
        <v>-</v>
      </c>
      <c r="AB34" s="88" t="str">
        <f>IF(OR(COUNTBLANK(D34:R34)&gt;=14,AA34="JA",AA34="kein ZW",X34="NEIN",Y34="manuell"),"",IF(AND(AA34="NEIN",W34="X"),"n.z.",IF(COUNTIF(D34:R34,"&gt;"&amp;(Y34+0.04999))&gt;(COUNT(D34:R34)*0.2),"NEIN",IF(ROUND(AVERAGE(D34:R34),0)&lt;=Y34,"JA","NEIN"))))</f>
        <v/>
      </c>
      <c r="AC34" s="89" t="str">
        <f>IF(AND(AB34="JA",S34&lt;10),ROUND(LARGE(D34:R34,2),1),IF(AND(AB34="JA",S34&gt;9,S34&lt;15),ROUND(LARGE(D34:R34,3),1),IF(AND(AB34="JA",S34=15),ROUND(LARGE(D34:R34,4),1),"-")))</f>
        <v>-</v>
      </c>
      <c r="AD34" s="90" t="str">
        <f t="shared" si="12"/>
        <v/>
      </c>
      <c r="AE34" s="91" t="str">
        <f t="shared" si="14"/>
        <v>-</v>
      </c>
    </row>
    <row r="35" spans="1:31" ht="12.95" customHeight="1" x14ac:dyDescent="0.2">
      <c r="A35" s="68" t="s">
        <v>102</v>
      </c>
      <c r="B35" s="97" t="s">
        <v>103</v>
      </c>
      <c r="C35" s="98" t="s">
        <v>91</v>
      </c>
      <c r="D35" s="121" t="str">
        <f>IF('[1]U-MP1'!E32="","",(--SUBSTITUTE(('[1]U-MP1'!E32),"&lt;","")))</f>
        <v/>
      </c>
      <c r="E35" s="122" t="str">
        <f>IF('[1]U-MP2'!E32="","",(--SUBSTITUTE(('[1]U-MP2'!E32),"&lt;","")))</f>
        <v/>
      </c>
      <c r="F35" s="122" t="str">
        <f>IF('[1]U-MP3'!E32="","",(--SUBSTITUTE(('[1]U-MP3'!E32),"&lt;","")))</f>
        <v/>
      </c>
      <c r="G35" s="122" t="str">
        <f>IF('[1]U-MP4'!E32="","",(--SUBSTITUTE(('[1]U-MP4'!E32),"&lt;","")))</f>
        <v/>
      </c>
      <c r="H35" s="122" t="str">
        <f>IF('[1]U-MP5'!E32="","",(--SUBSTITUTE(('[1]U-MP5'!E32),"&lt;","")))</f>
        <v/>
      </c>
      <c r="I35" s="122" t="str">
        <f>IF('[1]U-MP6'!E32="","",(--SUBSTITUTE(('[1]U-MP6'!E32),"&lt;","")))</f>
        <v/>
      </c>
      <c r="J35" s="122" t="str">
        <f>IF('[1]U-MP7'!E32="","",(--SUBSTITUTE(('[1]U-MP7'!E32),"&lt;","")))</f>
        <v/>
      </c>
      <c r="K35" s="122" t="str">
        <f>IF('[1]U-MP8'!E32="","",(--SUBSTITUTE(('[1]U-MP8'!E32),"&lt;","")))</f>
        <v/>
      </c>
      <c r="L35" s="122" t="str">
        <f>IF('[1]U-MP9'!E32="","",(--SUBSTITUTE(('[1]U-MP9'!E32),"&lt;","")))</f>
        <v/>
      </c>
      <c r="M35" s="122" t="str">
        <f>IF('[1]U-MP10'!E32="","",(--SUBSTITUTE(('[1]U-MP10'!E32),"&lt;","")))</f>
        <v/>
      </c>
      <c r="N35" s="122" t="str">
        <f>IF('[1]U-MP11'!E32="","",(--SUBSTITUTE(('[1]U-MP11'!E32),"&lt;","")))</f>
        <v/>
      </c>
      <c r="O35" s="122" t="str">
        <f>IF('[1]U-MP12'!E32="","",(--SUBSTITUTE(('[1]U-MP12'!E32),"&lt;","")))</f>
        <v/>
      </c>
      <c r="P35" s="122" t="str">
        <f>IF('[1]U-MP13'!E32="","",(--SUBSTITUTE(('[1]U-MP13'!E32),"&lt;","")))</f>
        <v/>
      </c>
      <c r="Q35" s="122" t="str">
        <f>IF('[1]U-MP14'!E32="","",(--SUBSTITUTE(('[1]U-MP14'!E32),"&lt;","")))</f>
        <v/>
      </c>
      <c r="R35" s="123" t="str">
        <f>IF('[1]U-MP15'!E32="","",(--SUBSTITUTE(('[1]U-MP15'!E32),"&lt;","")))</f>
        <v/>
      </c>
      <c r="S35" s="80" t="str">
        <f t="shared" si="15"/>
        <v>-</v>
      </c>
      <c r="T35" s="81" t="str">
        <f t="shared" si="16"/>
        <v/>
      </c>
      <c r="U35" s="82" t="str">
        <f t="shared" si="17"/>
        <v/>
      </c>
      <c r="V35" s="83" t="str">
        <f t="shared" si="18"/>
        <v/>
      </c>
      <c r="W35" s="84" t="str">
        <f t="shared" si="10"/>
        <v/>
      </c>
      <c r="X35" s="84" t="str">
        <f t="shared" si="11"/>
        <v>-</v>
      </c>
      <c r="Y35" s="85">
        <f>IF(OR($C$3=""),"",IF($C$3="Z0* IIIA",30,IF($C$3="Z0*",30,IF($C$3="Z1.1",30,IF($C$3="Z1.2",50,IF($C$3="Z2",100,IF($C$3="DK-0,5","manuell",IF($C$3="DK I",1500,IF($C$3="DK II",1500,IF($C$3="DK III",2500,IF($C$3="Reku Spalte 9",10,80)))))))))))</f>
        <v>1500</v>
      </c>
      <c r="Z35" s="87" t="str">
        <f>IF(OR(D35="",W35="n.z.",X35="NEIN",Y35="manuell"),"-",IF(Y35="",MAX(D35:R35),IF(ROUND(MAX(D35:R35),0)&gt;Y35,"Überschreitung",IF(V35="---","Messwerte = 0",IF(MAX(D35:R35)&lt;=(0.5*Y35),0.5*Y35,IF(MAX(D35:R35)&lt;=Y35,ROUND(MAX(D35:R35),0),Y35))))))</f>
        <v>-</v>
      </c>
      <c r="AA35" s="87" t="str">
        <f t="shared" si="13"/>
        <v>-</v>
      </c>
      <c r="AB35" s="88" t="str">
        <f>IF(OR(COUNTBLANK(D35:R35)&gt;=14,AA35="JA",AA35="kein ZW",X35="NEIN",Y35="manuell"),"",IF(AND(AA35="NEIN",W35="X"),"n.z.",IF(COUNTIF(D35:R35,"&gt;"&amp;(Y35+0.4999))&gt;(COUNT(D35:R35)*0.2),"NEIN",IF(ROUND(AVERAGE(D35:R35),0)&lt;=Y35,"JA","NEIN"))))</f>
        <v/>
      </c>
      <c r="AC35" s="90" t="str">
        <f>IF(AND(AB35="JA",S35&lt;10),ROUND(LARGE(D35:R35,2),0),IF(AND(AB35="JA",S35&gt;9,S35&lt;15),ROUND(LARGE(D35:R35,3),0),IF(AND(AB35="JA",S35=15),ROUND(LARGE(D35:R35,4),0),"-")))</f>
        <v>-</v>
      </c>
      <c r="AD35" s="90" t="str">
        <f t="shared" si="12"/>
        <v/>
      </c>
      <c r="AE35" s="96" t="str">
        <f t="shared" si="14"/>
        <v>-</v>
      </c>
    </row>
    <row r="36" spans="1:31" ht="12.95" customHeight="1" x14ac:dyDescent="0.2">
      <c r="A36" s="68" t="s">
        <v>104</v>
      </c>
      <c r="B36" s="97" t="s">
        <v>105</v>
      </c>
      <c r="C36" s="98" t="s">
        <v>91</v>
      </c>
      <c r="D36" s="125" t="str">
        <f>IF('[1]U-MP1'!E33="","",(--SUBSTITUTE(('[1]U-MP1'!E33),"&lt;","")))</f>
        <v/>
      </c>
      <c r="E36" s="126" t="str">
        <f>IF('[1]U-MP2'!E33="","",(--SUBSTITUTE(('[1]U-MP2'!E33),"&lt;","")))</f>
        <v/>
      </c>
      <c r="F36" s="126" t="str">
        <f>IF('[1]U-MP3'!E33="","",(--SUBSTITUTE(('[1]U-MP3'!E33),"&lt;","")))</f>
        <v/>
      </c>
      <c r="G36" s="126" t="str">
        <f>IF('[1]U-MP4'!E33="","",(--SUBSTITUTE(('[1]U-MP4'!E33),"&lt;","")))</f>
        <v/>
      </c>
      <c r="H36" s="126" t="str">
        <f>IF('[1]U-MP5'!E33="","",(--SUBSTITUTE(('[1]U-MP5'!E33),"&lt;","")))</f>
        <v/>
      </c>
      <c r="I36" s="126" t="str">
        <f>IF('[1]U-MP6'!E33="","",(--SUBSTITUTE(('[1]U-MP6'!E33),"&lt;","")))</f>
        <v/>
      </c>
      <c r="J36" s="126" t="str">
        <f>IF('[1]U-MP7'!E33="","",(--SUBSTITUTE(('[1]U-MP7'!E33),"&lt;","")))</f>
        <v/>
      </c>
      <c r="K36" s="126" t="str">
        <f>IF('[1]U-MP8'!E33="","",(--SUBSTITUTE(('[1]U-MP8'!E33),"&lt;","")))</f>
        <v/>
      </c>
      <c r="L36" s="126" t="str">
        <f>IF('[1]U-MP9'!E33="","",(--SUBSTITUTE(('[1]U-MP9'!E33),"&lt;","")))</f>
        <v/>
      </c>
      <c r="M36" s="126" t="str">
        <f>IF('[1]U-MP10'!E33="","",(--SUBSTITUTE(('[1]U-MP10'!E33),"&lt;","")))</f>
        <v/>
      </c>
      <c r="N36" s="126" t="str">
        <f>IF('[1]U-MP11'!E33="","",(--SUBSTITUTE(('[1]U-MP11'!E33),"&lt;","")))</f>
        <v/>
      </c>
      <c r="O36" s="126" t="str">
        <f>IF('[1]U-MP12'!E33="","",(--SUBSTITUTE(('[1]U-MP12'!E33),"&lt;","")))</f>
        <v/>
      </c>
      <c r="P36" s="126" t="str">
        <f>IF('[1]U-MP13'!E33="","",(--SUBSTITUTE(('[1]U-MP13'!E33),"&lt;","")))</f>
        <v/>
      </c>
      <c r="Q36" s="126" t="str">
        <f>IF('[1]U-MP14'!E33="","",(--SUBSTITUTE(('[1]U-MP14'!E33),"&lt;","")))</f>
        <v/>
      </c>
      <c r="R36" s="127" t="str">
        <f>IF('[1]U-MP15'!E33="","",(--SUBSTITUTE(('[1]U-MP15'!E33),"&lt;","")))</f>
        <v/>
      </c>
      <c r="S36" s="80" t="str">
        <f t="shared" si="15"/>
        <v>-</v>
      </c>
      <c r="T36" s="103" t="str">
        <f t="shared" si="16"/>
        <v/>
      </c>
      <c r="U36" s="82" t="str">
        <f t="shared" si="17"/>
        <v/>
      </c>
      <c r="V36" s="83" t="str">
        <f t="shared" si="18"/>
        <v/>
      </c>
      <c r="W36" s="84" t="str">
        <f t="shared" si="10"/>
        <v/>
      </c>
      <c r="X36" s="84" t="str">
        <f t="shared" si="11"/>
        <v>-</v>
      </c>
      <c r="Y36" s="85">
        <f>IF(OR($C$3=""),"",IF($C$3="Z0* IIIA",50,IF($C$3="Z0*",50,IF($C$3="Z1.1",50,IF($C$3="Z1.2",100,IF($C$3="Z2",150,IF($C$3="DK-0,5","manuell",IF($C$3="DK I",2000,IF($C$3="DK II",2000,IF($C$3="DK III",5000,IF($C$3="Reku Spalte 9",50,100)))))))))))</f>
        <v>2000</v>
      </c>
      <c r="Z36" s="87" t="str">
        <f>IF(OR(D36="",W36="n.z.",X36="NEIN",Y36="manuell"),"-",IF(Y36="",MAX(D36:R36),IF(ROUND(MAX(D36:R36),0)&gt;Y36,"Überschreitung",IF(V36="---","Messwerte = 0",IF(MAX(D36:R36)&lt;=(0.5*Y36),0.5*Y36,IF(MAX(D36:R36)&lt;=Y36,ROUND(MAX(D36:R36),0),Y36))))))</f>
        <v>-</v>
      </c>
      <c r="AA36" s="87" t="str">
        <f t="shared" si="13"/>
        <v>-</v>
      </c>
      <c r="AB36" s="88" t="str">
        <f>IF(OR(COUNTBLANK(D36:R36)&gt;=14,AA36="JA",AA36="kein ZW",X36="NEIN",Y36="manuell"),"",IF(AND(AA36="NEIN",W36="X"),"n.z.",IF(COUNTIF(D36:R36,"&gt;"&amp;(Y36+0.4999))&gt;(COUNT(D36:R36)*0.2),"NEIN",IF(ROUND(AVERAGE(D36:R36),0)&lt;=Y36,"JA","NEIN"))))</f>
        <v/>
      </c>
      <c r="AC36" s="90" t="str">
        <f>IF(AND(AB36="JA",S36&lt;10),ROUND(LARGE(D36:R36,2),0),IF(AND(AB36="JA",S36&gt;9,S36&lt;15),ROUND(LARGE(D36:R36,3),0),IF(AND(AB36="JA",S36=15),ROUND(LARGE(D36:R36,4),0),"-")))</f>
        <v>-</v>
      </c>
      <c r="AD36" s="90" t="str">
        <f t="shared" si="12"/>
        <v/>
      </c>
      <c r="AE36" s="96" t="str">
        <f t="shared" si="14"/>
        <v>-</v>
      </c>
    </row>
    <row r="37" spans="1:31" ht="12.75" customHeight="1" x14ac:dyDescent="0.2">
      <c r="A37" s="68" t="s">
        <v>106</v>
      </c>
      <c r="B37" s="97" t="s">
        <v>107</v>
      </c>
      <c r="C37" s="98" t="s">
        <v>91</v>
      </c>
      <c r="D37" s="128" t="str">
        <f>IF('[1]U-MP1'!E34="","",(--SUBSTITUTE(('[1]U-MP1'!E34),"&lt;","")))</f>
        <v/>
      </c>
      <c r="E37" s="129" t="str">
        <f>IF('[1]U-MP2'!E34="","",(--SUBSTITUTE(('[1]U-MP2'!E34),"&lt;","")))</f>
        <v/>
      </c>
      <c r="F37" s="129" t="str">
        <f>IF('[1]U-MP3'!E34="","",(--SUBSTITUTE(('[1]U-MP3'!E34),"&lt;","")))</f>
        <v/>
      </c>
      <c r="G37" s="129" t="str">
        <f>IF('[1]U-MP4'!E34="","",(--SUBSTITUTE(('[1]U-MP4'!E34),"&lt;","")))</f>
        <v/>
      </c>
      <c r="H37" s="129" t="str">
        <f>IF('[1]U-MP5'!E34="","",(--SUBSTITUTE(('[1]U-MP5'!E34),"&lt;","")))</f>
        <v/>
      </c>
      <c r="I37" s="129" t="str">
        <f>IF('[1]U-MP6'!E34="","",(--SUBSTITUTE(('[1]U-MP6'!E34),"&lt;","")))</f>
        <v/>
      </c>
      <c r="J37" s="129" t="str">
        <f>IF('[1]U-MP7'!E34="","",(--SUBSTITUTE(('[1]U-MP7'!E34),"&lt;","")))</f>
        <v/>
      </c>
      <c r="K37" s="129" t="str">
        <f>IF('[1]U-MP8'!E34="","",(--SUBSTITUTE(('[1]U-MP8'!E34),"&lt;","")))</f>
        <v/>
      </c>
      <c r="L37" s="129" t="str">
        <f>IF('[1]U-MP9'!E34="","",(--SUBSTITUTE(('[1]U-MP9'!E34),"&lt;","")))</f>
        <v/>
      </c>
      <c r="M37" s="129" t="str">
        <f>IF('[1]U-MP10'!E34="","",(--SUBSTITUTE(('[1]U-MP10'!E34),"&lt;","")))</f>
        <v/>
      </c>
      <c r="N37" s="129" t="str">
        <f>IF('[1]U-MP11'!E34="","",(--SUBSTITUTE(('[1]U-MP11'!E34),"&lt;","")))</f>
        <v/>
      </c>
      <c r="O37" s="129" t="str">
        <f>IF('[1]U-MP12'!E34="","",(--SUBSTITUTE(('[1]U-MP12'!E34),"&lt;","")))</f>
        <v/>
      </c>
      <c r="P37" s="129" t="str">
        <f>IF('[1]U-MP13'!E34="","",(--SUBSTITUTE(('[1]U-MP13'!E34),"&lt;","")))</f>
        <v/>
      </c>
      <c r="Q37" s="129" t="str">
        <f>IF('[1]U-MP14'!E34="","",(--SUBSTITUTE(('[1]U-MP14'!E34),"&lt;","")))</f>
        <v/>
      </c>
      <c r="R37" s="130" t="str">
        <f>IF('[1]U-MP15'!E34="","",(--SUBSTITUTE(('[1]U-MP15'!E34),"&lt;","")))</f>
        <v/>
      </c>
      <c r="S37" s="80" t="str">
        <f t="shared" si="15"/>
        <v>-</v>
      </c>
      <c r="T37" s="131" t="str">
        <f t="shared" si="16"/>
        <v/>
      </c>
      <c r="U37" s="82" t="str">
        <f t="shared" si="17"/>
        <v/>
      </c>
      <c r="V37" s="83" t="str">
        <f t="shared" si="18"/>
        <v/>
      </c>
      <c r="W37" s="84" t="str">
        <f t="shared" si="10"/>
        <v/>
      </c>
      <c r="X37" s="84" t="str">
        <f t="shared" si="11"/>
        <v>-</v>
      </c>
      <c r="Y37" s="85">
        <f>IF(OR($C$3="",$C$3="Z0* IIIA",$C$3="Z0*",$C$3="Z1.1",$C$3="Z1.2",$C$3="Z2"),"",IF($C$3="DK-0,5","manuell",IF($C$3="DK I",0.1,IF($C$3="DK II",0.5,IF($C$3="DK III",1,IF($C$3="Reku Spalte 9","",0.01))))))</f>
        <v>0.1</v>
      </c>
      <c r="Z37" s="132" t="str">
        <f>IF(OR(D37="",W37="n.z.",X37="NEIN",Y37="manuell"),"-",IF(Y37="",MAX(D37:R37),IF(ROUND(MAX(D37:R37),2)&gt;Y37,"Überschreitung",IF(V37="---","Messwerte = 0",IF(MAX(D37:R37)&lt;=(0.5*Y37),0.5*Y37,IF(MAX(D37:R37)&lt;=Y37,ROUND(MAX(D37:R37),2),Y37))))))</f>
        <v>-</v>
      </c>
      <c r="AA37" s="87" t="str">
        <f t="shared" si="13"/>
        <v>-</v>
      </c>
      <c r="AB37" s="88" t="str">
        <f>IF(OR(COUNTBLANK(D37:R37)&gt;=14,AA37="JA",AA37="kein ZW",X37="NEIN",Y37="manuell"),"",IF(AND(AA37="NEIN",W37="X"),"n.z.",IF(COUNTIF(D37:R37,"&gt;"&amp;(Y37+0.004999))&gt;(COUNT(D37:R37)*0.2),"NEIN",IF(ROUND(AVERAGE(D37:R37),0)&lt;=Y37,"JA","NEIN"))))</f>
        <v/>
      </c>
      <c r="AC37" s="133" t="str">
        <f>IF(AND(AB37="JA",S37&lt;10),ROUND(LARGE(D37:R37,2),2),IF(AND(AB37="JA",S37&gt;9,S37&lt;15),ROUND(LARGE(D37:R37,3),2),IF(AND(AB37="JA",S37=15),ROUND(LARGE(D37:R37,4),2),"-")))</f>
        <v>-</v>
      </c>
      <c r="AD37" s="90" t="str">
        <f t="shared" si="12"/>
        <v/>
      </c>
      <c r="AE37" s="134" t="str">
        <f t="shared" si="14"/>
        <v>-</v>
      </c>
    </row>
    <row r="38" spans="1:31" ht="12.95" customHeight="1" x14ac:dyDescent="0.2">
      <c r="A38" s="68" t="s">
        <v>108</v>
      </c>
      <c r="B38" s="97" t="s">
        <v>109</v>
      </c>
      <c r="C38" s="98" t="s">
        <v>91</v>
      </c>
      <c r="D38" s="125" t="str">
        <f>IF('[1]U-MP1'!E35="","",(--SUBSTITUTE(('[1]U-MP1'!E35),"&lt;","")))</f>
        <v/>
      </c>
      <c r="E38" s="126" t="str">
        <f>IF('[1]U-MP2'!E35="","",(--SUBSTITUTE(('[1]U-MP2'!E35),"&lt;","")))</f>
        <v/>
      </c>
      <c r="F38" s="126" t="str">
        <f>IF('[1]U-MP3'!E35="","",(--SUBSTITUTE(('[1]U-MP3'!E35),"&lt;","")))</f>
        <v/>
      </c>
      <c r="G38" s="126" t="str">
        <f>IF('[1]U-MP4'!E35="","",(--SUBSTITUTE(('[1]U-MP4'!E35),"&lt;","")))</f>
        <v/>
      </c>
      <c r="H38" s="126" t="str">
        <f>IF('[1]U-MP5'!E35="","",(--SUBSTITUTE(('[1]U-MP5'!E35),"&lt;","")))</f>
        <v/>
      </c>
      <c r="I38" s="126" t="str">
        <f>IF('[1]U-MP6'!E35="","",(--SUBSTITUTE(('[1]U-MP6'!E35),"&lt;","")))</f>
        <v/>
      </c>
      <c r="J38" s="126" t="str">
        <f>IF('[1]U-MP7'!E35="","",(--SUBSTITUTE(('[1]U-MP7'!E35),"&lt;","")))</f>
        <v/>
      </c>
      <c r="K38" s="126" t="str">
        <f>IF('[1]U-MP8'!E35="","",(--SUBSTITUTE(('[1]U-MP8'!E35),"&lt;","")))</f>
        <v/>
      </c>
      <c r="L38" s="126" t="str">
        <f>IF('[1]U-MP9'!E35="","",(--SUBSTITUTE(('[1]U-MP9'!E35),"&lt;","")))</f>
        <v/>
      </c>
      <c r="M38" s="126" t="str">
        <f>IF('[1]U-MP10'!E35="","",(--SUBSTITUTE(('[1]U-MP10'!E35),"&lt;","")))</f>
        <v/>
      </c>
      <c r="N38" s="126" t="str">
        <f>IF('[1]U-MP11'!E35="","",(--SUBSTITUTE(('[1]U-MP11'!E35),"&lt;","")))</f>
        <v/>
      </c>
      <c r="O38" s="126" t="str">
        <f>IF('[1]U-MP12'!E35="","",(--SUBSTITUTE(('[1]U-MP12'!E35),"&lt;","")))</f>
        <v/>
      </c>
      <c r="P38" s="126" t="str">
        <f>IF('[1]U-MP13'!E35="","",(--SUBSTITUTE(('[1]U-MP13'!E35),"&lt;","")))</f>
        <v/>
      </c>
      <c r="Q38" s="126" t="str">
        <f>IF('[1]U-MP14'!E35="","",(--SUBSTITUTE(('[1]U-MP14'!E35),"&lt;","")))</f>
        <v/>
      </c>
      <c r="R38" s="127" t="str">
        <f>IF('[1]U-MP15'!E35="","",(--SUBSTITUTE(('[1]U-MP15'!E35),"&lt;","")))</f>
        <v/>
      </c>
      <c r="S38" s="80" t="str">
        <f t="shared" si="15"/>
        <v>-</v>
      </c>
      <c r="T38" s="103" t="str">
        <f t="shared" si="16"/>
        <v/>
      </c>
      <c r="U38" s="82" t="str">
        <f t="shared" si="17"/>
        <v/>
      </c>
      <c r="V38" s="83" t="str">
        <f t="shared" si="18"/>
        <v/>
      </c>
      <c r="W38" s="84" t="str">
        <f t="shared" si="10"/>
        <v/>
      </c>
      <c r="X38" s="84" t="str">
        <f t="shared" si="11"/>
        <v>-</v>
      </c>
      <c r="Y38" s="85">
        <f>IF(OR($C$3="",$C$3="Z0* IIIA",$C$3="Z0*",$C$3="Z1.1",$C$3="Z1.2",$C$3="Z2"),"",IF($C$3="DK-0,5","manuell",IF($C$3="DK I",5,IF($C$3="DK II",15,IF($C$3="DK III",50,IF($C$3="Reku Spalte 9","",1))))))</f>
        <v>5</v>
      </c>
      <c r="Z38" s="87" t="str">
        <f>IF(OR(D38="",W38="n.z.",X38="NEIN",Y38="manuell"),"-",IF(Y38="",MAX(D38:R38),IF(ROUND(MAX(D38:R38),0)&gt;Y38,"Überschreitung",IF(V38="---","Messwerte = 0",IF(MAX(D38:R38)&lt;=(0.5*Y38),0.5*Y38,IF(MAX(D38:R38)&lt;=Y38,ROUND(MAX(D38:R38),0),Y38))))))</f>
        <v>-</v>
      </c>
      <c r="AA38" s="87" t="str">
        <f t="shared" si="13"/>
        <v>-</v>
      </c>
      <c r="AB38" s="88" t="str">
        <f>IF(OR(COUNTBLANK(D38:R38)&gt;=14,AA38="JA",AA38="kein ZW",X38="NEIN",Y38="manuell"),"",IF(AND(AA38="NEIN",W38="X"),"n.z.",IF(COUNTIF(D38:R38,"&gt;"&amp;(Y38+0.4999))&gt;(COUNT(D38:R38)*0.2),"NEIN",IF(ROUND(AVERAGE(D38:R38),0)&lt;=Y38,"JA","NEIN"))))</f>
        <v/>
      </c>
      <c r="AC38" s="90" t="str">
        <f>IF(AND(AB38="JA",S38&lt;10),ROUND(LARGE(D38:R38,2),0),IF(AND(AB38="JA",S38&gt;9,S38&lt;15),ROUND(LARGE(D38:R38,3),0),IF(AND(AB38="JA",S38=15),ROUND(LARGE(D38:R38,4),0),"-")))</f>
        <v>-</v>
      </c>
      <c r="AD38" s="90" t="str">
        <f t="shared" si="12"/>
        <v/>
      </c>
      <c r="AE38" s="96" t="str">
        <f t="shared" si="14"/>
        <v>-</v>
      </c>
    </row>
    <row r="39" spans="1:31" ht="12.95" customHeight="1" x14ac:dyDescent="0.2">
      <c r="A39" s="68" t="s">
        <v>110</v>
      </c>
      <c r="B39" s="97" t="s">
        <v>111</v>
      </c>
      <c r="C39" s="98" t="s">
        <v>91</v>
      </c>
      <c r="D39" s="128" t="str">
        <f>IF('[1]U-MP1'!E36="","",(--SUBSTITUTE(('[1]U-MP1'!E36),"&lt;","")))</f>
        <v/>
      </c>
      <c r="E39" s="129" t="str">
        <f>IF('[1]U-MP2'!E36="","",(--SUBSTITUTE(('[1]U-MP2'!E36),"&lt;","")))</f>
        <v/>
      </c>
      <c r="F39" s="129" t="str">
        <f>IF('[1]U-MP3'!E36="","",(--SUBSTITUTE(('[1]U-MP3'!E36),"&lt;","")))</f>
        <v/>
      </c>
      <c r="G39" s="129" t="str">
        <f>IF('[1]U-MP4'!E36="","",(--SUBSTITUTE(('[1]U-MP4'!E36),"&lt;","")))</f>
        <v/>
      </c>
      <c r="H39" s="129" t="str">
        <f>IF('[1]U-MP5'!E36="","",(--SUBSTITUTE(('[1]U-MP5'!E36),"&lt;","")))</f>
        <v/>
      </c>
      <c r="I39" s="129" t="str">
        <f>IF('[1]U-MP6'!E36="","",(--SUBSTITUTE(('[1]U-MP6'!E36),"&lt;","")))</f>
        <v/>
      </c>
      <c r="J39" s="129" t="str">
        <f>IF('[1]U-MP7'!E36="","",(--SUBSTITUTE(('[1]U-MP7'!E36),"&lt;","")))</f>
        <v/>
      </c>
      <c r="K39" s="129" t="str">
        <f>IF('[1]U-MP8'!E36="","",(--SUBSTITUTE(('[1]U-MP8'!E36),"&lt;","")))</f>
        <v/>
      </c>
      <c r="L39" s="129" t="str">
        <f>IF('[1]U-MP9'!E36="","",(--SUBSTITUTE(('[1]U-MP9'!E36),"&lt;","")))</f>
        <v/>
      </c>
      <c r="M39" s="129" t="str">
        <f>IF('[1]U-MP10'!E36="","",(--SUBSTITUTE(('[1]U-MP10'!E36),"&lt;","")))</f>
        <v/>
      </c>
      <c r="N39" s="129" t="str">
        <f>IF('[1]U-MP11'!E36="","",(--SUBSTITUTE(('[1]U-MP11'!E36),"&lt;","")))</f>
        <v/>
      </c>
      <c r="O39" s="129" t="str">
        <f>IF('[1]U-MP12'!E36="","",(--SUBSTITUTE(('[1]U-MP12'!E36),"&lt;","")))</f>
        <v/>
      </c>
      <c r="P39" s="129" t="str">
        <f>IF('[1]U-MP13'!E36="","",(--SUBSTITUTE(('[1]U-MP13'!E36),"&lt;","")))</f>
        <v/>
      </c>
      <c r="Q39" s="129" t="str">
        <f>IF('[1]U-MP14'!E36="","",(--SUBSTITUTE(('[1]U-MP14'!E36),"&lt;","")))</f>
        <v/>
      </c>
      <c r="R39" s="130" t="str">
        <f>IF('[1]U-MP15'!E36="","",(--SUBSTITUTE(('[1]U-MP15'!E36),"&lt;","")))</f>
        <v/>
      </c>
      <c r="S39" s="80" t="str">
        <f t="shared" si="15"/>
        <v>-</v>
      </c>
      <c r="T39" s="131" t="str">
        <f t="shared" si="16"/>
        <v/>
      </c>
      <c r="U39" s="82" t="str">
        <f t="shared" si="17"/>
        <v/>
      </c>
      <c r="V39" s="83" t="str">
        <f t="shared" si="18"/>
        <v/>
      </c>
      <c r="W39" s="84" t="str">
        <f t="shared" si="10"/>
        <v/>
      </c>
      <c r="X39" s="84" t="str">
        <f t="shared" si="11"/>
        <v>-</v>
      </c>
      <c r="Y39" s="85">
        <f>IF(OR($C$3="",$C$3="Z0* IIIA",$C$3="Z0*",$C$3="Z1.1",$C$3="Z1.2",$C$3="Z2"),"",IF($C$3="DK-0,5","manuell",IF($C$3="DK I",5,IF($C$3="DK II",10,IF($C$3="DK III",30,IF($C$3="Reku Spalte 9","",2))))))</f>
        <v>5</v>
      </c>
      <c r="Z39" s="87" t="str">
        <f>IF(OR(D39="",W39="n.z.",X39="NEIN",Y39="manuell"),"-",IF(Y39="",MAX(D39:R39),IF(ROUND(MAX(D39:R39),0)&gt;Y39,"Überschreitung",IF(V39="---","Messwerte = 0",IF(MAX(D39:R39)&lt;=(0.5*Y39),0.5*Y39,IF(MAX(D39:R39)&lt;=Y39,ROUND(MAX(D39:R39),0),Y39))))))</f>
        <v>-</v>
      </c>
      <c r="AA39" s="87" t="str">
        <f t="shared" si="13"/>
        <v>-</v>
      </c>
      <c r="AB39" s="88" t="str">
        <f>IF(OR(COUNTBLANK(D39:R39)&gt;=14,AA39="JA",AA39="kein ZW",X39="NEIN",Y39="manuell"),"",IF(AND(AA39="NEIN",W39="X"),"n.z.",IF(COUNTIF(D39:R39,"&gt;"&amp;(Y39+0.4999))&gt;(COUNT(D39:R39)*0.2),"NEIN",IF(ROUND(AVERAGE(D39:R39),0)&lt;=Y39,"JA","NEIN"))))</f>
        <v/>
      </c>
      <c r="AC39" s="90" t="str">
        <f>IF(AND(AB39="JA",S39&lt;10),ROUND(LARGE(D39:R39,2),0),IF(AND(AB39="JA",S39&gt;9,S39&lt;15),ROUND(LARGE(D39:R39,3),0),IF(AND(AB39="JA",S39=15),ROUND(LARGE(D39:R39,4),0),"-")))</f>
        <v>-</v>
      </c>
      <c r="AD39" s="90" t="str">
        <f t="shared" si="12"/>
        <v/>
      </c>
      <c r="AE39" s="96" t="str">
        <f t="shared" si="14"/>
        <v>-</v>
      </c>
    </row>
    <row r="40" spans="1:31" x14ac:dyDescent="0.2">
      <c r="A40" s="68" t="s">
        <v>112</v>
      </c>
      <c r="B40" s="97" t="s">
        <v>113</v>
      </c>
      <c r="C40" s="98" t="s">
        <v>91</v>
      </c>
      <c r="D40" s="128" t="str">
        <f>IF('[1]U-MP1'!E37="","",(--SUBSTITUTE(('[1]U-MP1'!E37),"&lt;","")))</f>
        <v/>
      </c>
      <c r="E40" s="129" t="str">
        <f>IF('[1]U-MP2'!E37="","",(--SUBSTITUTE(('[1]U-MP2'!E37),"&lt;","")))</f>
        <v/>
      </c>
      <c r="F40" s="129" t="str">
        <f>IF('[1]U-MP3'!E37="","",(--SUBSTITUTE(('[1]U-MP3'!E37),"&lt;","")))</f>
        <v/>
      </c>
      <c r="G40" s="129" t="str">
        <f>IF('[1]U-MP4'!E37="","",(--SUBSTITUTE(('[1]U-MP4'!E37),"&lt;","")))</f>
        <v/>
      </c>
      <c r="H40" s="129" t="str">
        <f>IF('[1]U-MP5'!E37="","",(--SUBSTITUTE(('[1]U-MP5'!E37),"&lt;","")))</f>
        <v/>
      </c>
      <c r="I40" s="129" t="str">
        <f>IF('[1]U-MP6'!E37="","",(--SUBSTITUTE(('[1]U-MP6'!E37),"&lt;","")))</f>
        <v/>
      </c>
      <c r="J40" s="129" t="str">
        <f>IF('[1]U-MP7'!E37="","",(--SUBSTITUTE(('[1]U-MP7'!E37),"&lt;","")))</f>
        <v/>
      </c>
      <c r="K40" s="129" t="str">
        <f>IF('[1]U-MP8'!E37="","",(--SUBSTITUTE(('[1]U-MP8'!E37),"&lt;","")))</f>
        <v/>
      </c>
      <c r="L40" s="129" t="str">
        <f>IF('[1]U-MP9'!E37="","",(--SUBSTITUTE(('[1]U-MP9'!E37),"&lt;","")))</f>
        <v/>
      </c>
      <c r="M40" s="129" t="str">
        <f>IF('[1]U-MP10'!E37="","",(--SUBSTITUTE(('[1]U-MP10'!E37),"&lt;","")))</f>
        <v/>
      </c>
      <c r="N40" s="129" t="str">
        <f>IF('[1]U-MP11'!E37="","",(--SUBSTITUTE(('[1]U-MP11'!E37),"&lt;","")))</f>
        <v/>
      </c>
      <c r="O40" s="129" t="str">
        <f>IF('[1]U-MP12'!E37="","",(--SUBSTITUTE(('[1]U-MP12'!E37),"&lt;","")))</f>
        <v/>
      </c>
      <c r="P40" s="129" t="str">
        <f>IF('[1]U-MP13'!E37="","",(--SUBSTITUTE(('[1]U-MP13'!E37),"&lt;","")))</f>
        <v/>
      </c>
      <c r="Q40" s="129" t="str">
        <f>IF('[1]U-MP14'!E37="","",(--SUBSTITUTE(('[1]U-MP14'!E37),"&lt;","")))</f>
        <v/>
      </c>
      <c r="R40" s="130" t="str">
        <f>IF('[1]U-MP15'!E37="","",(--SUBSTITUTE(('[1]U-MP15'!E37),"&lt;","")))</f>
        <v/>
      </c>
      <c r="S40" s="80" t="str">
        <f t="shared" si="15"/>
        <v>-</v>
      </c>
      <c r="T40" s="131" t="str">
        <f t="shared" si="16"/>
        <v/>
      </c>
      <c r="U40" s="82" t="str">
        <f t="shared" si="17"/>
        <v/>
      </c>
      <c r="V40" s="83" t="str">
        <f t="shared" si="18"/>
        <v/>
      </c>
      <c r="W40" s="84" t="str">
        <f t="shared" si="10"/>
        <v/>
      </c>
      <c r="X40" s="84" t="str">
        <f t="shared" si="11"/>
        <v>-</v>
      </c>
      <c r="Y40" s="85">
        <f>IF(OR($C$3=""),"",IF($C$3="Z0* IIIA",0.0125,IF($C$3="Z0*",0.0125,IF($C$3="Z1.1",0.0125,IF($C$3="Z1.2",0.025,IF($C$3="Z2",0.06,IF($C$3="DK-0,5","manuell",IF($C$3="DK I",0.3,IF($C$3="DK II",1,IF($C$3="DK III",7,IF($C$3="Reku Spalte 9",0.03,0.05)))))))))))</f>
        <v>0.3</v>
      </c>
      <c r="Z40" s="132" t="str">
        <f>IF(OR(D40="",W40="n.z.",X40="NEIN",Y40="manuell"),"-",IF(Y40="",MAX(D40:R40),IF(ROUND(MAX(D40:R40),2)&gt;Y40,"Überschreitung",IF(V40="---","Messwerte = 0",IF(MAX(D40:R40)&lt;=(0.5*Y40),0.5*Y40,IF(MAX(D40:R40)&lt;=Y40,ROUND(MAX(D40:R40),2),Y40))))))</f>
        <v>-</v>
      </c>
      <c r="AA40" s="87" t="str">
        <f t="shared" si="13"/>
        <v>-</v>
      </c>
      <c r="AB40" s="88" t="str">
        <f>IF(OR(COUNTBLANK(D40:R40)&gt;=14,AA40="JA",AA40="kein ZW",X40="NEIN",Y40="manuell"),"",IF(AND(AA40="NEIN",W40="X"),"n.z.",IF(COUNTIF(D40:R40,"&gt;"&amp;(Y40+0.004999))&gt;(COUNT(D40:R40)*0.2),"NEIN",IF(ROUND(AVERAGE(D40:R40),0)&lt;=Y40,"JA","NEIN"))))</f>
        <v/>
      </c>
      <c r="AC40" s="133" t="str">
        <f>IF(AND(AB40="JA",S40&lt;10),ROUND(LARGE(D40:R40,2),2),IF(AND(AB40="JA",S40&gt;9,S40&lt;15),ROUND(LARGE(D40:R40,3),2),IF(AND(AB40="JA",S40=15),ROUND(LARGE(D40:R40,4),2),"-")))</f>
        <v>-</v>
      </c>
      <c r="AD40" s="90" t="str">
        <f t="shared" si="12"/>
        <v/>
      </c>
      <c r="AE40" s="134" t="str">
        <f t="shared" si="14"/>
        <v>-</v>
      </c>
    </row>
    <row r="41" spans="1:31" x14ac:dyDescent="0.2">
      <c r="A41" s="68" t="s">
        <v>114</v>
      </c>
      <c r="B41" s="97" t="s">
        <v>115</v>
      </c>
      <c r="C41" s="98" t="s">
        <v>91</v>
      </c>
      <c r="D41" s="128" t="str">
        <f>IF('[1]U-MP1'!E38="","",(--SUBSTITUTE(('[1]U-MP1'!E38),"&lt;","")))</f>
        <v/>
      </c>
      <c r="E41" s="129" t="str">
        <f>IF('[1]U-MP2'!E38="","",(--SUBSTITUTE(('[1]U-MP2'!E38),"&lt;","")))</f>
        <v/>
      </c>
      <c r="F41" s="129" t="str">
        <f>IF('[1]U-MP3'!E38="","",(--SUBSTITUTE(('[1]U-MP3'!E38),"&lt;","")))</f>
        <v/>
      </c>
      <c r="G41" s="129" t="str">
        <f>IF('[1]U-MP4'!E38="","",(--SUBSTITUTE(('[1]U-MP4'!E38),"&lt;","")))</f>
        <v/>
      </c>
      <c r="H41" s="129" t="str">
        <f>IF('[1]U-MP5'!E38="","",(--SUBSTITUTE(('[1]U-MP5'!E38),"&lt;","")))</f>
        <v/>
      </c>
      <c r="I41" s="129" t="str">
        <f>IF('[1]U-MP6'!E38="","",(--SUBSTITUTE(('[1]U-MP6'!E38),"&lt;","")))</f>
        <v/>
      </c>
      <c r="J41" s="129" t="str">
        <f>IF('[1]U-MP7'!E38="","",(--SUBSTITUTE(('[1]U-MP7'!E38),"&lt;","")))</f>
        <v/>
      </c>
      <c r="K41" s="129" t="str">
        <f>IF('[1]U-MP8'!E38="","",(--SUBSTITUTE(('[1]U-MP8'!E38),"&lt;","")))</f>
        <v/>
      </c>
      <c r="L41" s="129" t="str">
        <f>IF('[1]U-MP9'!E38="","",(--SUBSTITUTE(('[1]U-MP9'!E38),"&lt;","")))</f>
        <v/>
      </c>
      <c r="M41" s="129" t="str">
        <f>IF('[1]U-MP10'!E38="","",(--SUBSTITUTE(('[1]U-MP10'!E38),"&lt;","")))</f>
        <v/>
      </c>
      <c r="N41" s="129" t="str">
        <f>IF('[1]U-MP11'!E38="","",(--SUBSTITUTE(('[1]U-MP11'!E38),"&lt;","")))</f>
        <v/>
      </c>
      <c r="O41" s="129" t="str">
        <f>IF('[1]U-MP12'!E38="","",(--SUBSTITUTE(('[1]U-MP12'!E38),"&lt;","")))</f>
        <v/>
      </c>
      <c r="P41" s="129" t="str">
        <f>IF('[1]U-MP13'!E38="","",(--SUBSTITUTE(('[1]U-MP13'!E38),"&lt;","")))</f>
        <v/>
      </c>
      <c r="Q41" s="129" t="str">
        <f>IF('[1]U-MP14'!E38="","",(--SUBSTITUTE(('[1]U-MP14'!E38),"&lt;","")))</f>
        <v/>
      </c>
      <c r="R41" s="130" t="str">
        <f>IF('[1]U-MP15'!E38="","",(--SUBSTITUTE(('[1]U-MP15'!E38),"&lt;","")))</f>
        <v/>
      </c>
      <c r="S41" s="80" t="str">
        <f t="shared" si="15"/>
        <v>-</v>
      </c>
      <c r="T41" s="131" t="str">
        <f t="shared" si="16"/>
        <v/>
      </c>
      <c r="U41" s="82" t="str">
        <f t="shared" si="17"/>
        <v/>
      </c>
      <c r="V41" s="83" t="str">
        <f t="shared" si="18"/>
        <v/>
      </c>
      <c r="W41" s="84" t="str">
        <f t="shared" si="10"/>
        <v/>
      </c>
      <c r="X41" s="84" t="str">
        <f t="shared" si="11"/>
        <v>-</v>
      </c>
      <c r="Y41" s="85">
        <f>IF(OR($C$3="",$C$3="Z0* IIIA",$C$3="Z0*",$C$3="Z1.1",$C$3="Z1.2",$C$3="Z2"),"",IF($C$3="DK-0,5","manuell",IF($C$3="DK I",0.3,IF($C$3="DK II",1,IF($C$3="DK III",7,IF($C$3="Reku Spalte 9","",0.05))))))</f>
        <v>0.3</v>
      </c>
      <c r="Z41" s="132" t="str">
        <f>IF(OR(D41="",W41="n.z.",X41="NEIN",Y41="manuell"),"-",IF(Y41="",MAX(D41:R41),IF(ROUND(MAX(D41:R41),2)&gt;Y41,"Überschreitung",IF(V41="---","Messwerte = 0",IF(MAX(D41:R41)&lt;=(0.5*Y41),0.5*Y41,IF(MAX(D41:R41)&lt;=Y41,ROUND(MAX(D41:R41),2),Y41))))))</f>
        <v>-</v>
      </c>
      <c r="AA41" s="87" t="str">
        <f t="shared" si="13"/>
        <v>-</v>
      </c>
      <c r="AB41" s="88" t="str">
        <f>IF(OR(COUNTBLANK(D41:R41)&gt;=14,AA41="JA",AA41="kein ZW",X41="NEIN",Y41="manuell"),"",IF(AND(AA41="NEIN",W41="X"),"n.z.",IF(COUNTIF(D41:R41,"&gt;"&amp;(Y41+0.004999))&gt;(COUNT(D41:R41)*0.2),"NEIN",IF(ROUND(AVERAGE(D41:R41),0)&lt;=Y41,"JA","NEIN"))))</f>
        <v/>
      </c>
      <c r="AC41" s="133" t="str">
        <f>IF(AND(AB41="JA",S41&lt;10),ROUND(LARGE(D41:R41,2),2),IF(AND(AB41="JA",S41&gt;9,S41&lt;15),ROUND(LARGE(D41:R41,3),2),IF(AND(AB41="JA",S41=15),ROUND(LARGE(D41:R41,4),2),"-")))</f>
        <v>-</v>
      </c>
      <c r="AD41" s="90" t="str">
        <f t="shared" si="12"/>
        <v/>
      </c>
      <c r="AE41" s="134" t="str">
        <f t="shared" si="14"/>
        <v>-</v>
      </c>
    </row>
    <row r="42" spans="1:31" x14ac:dyDescent="0.2">
      <c r="A42" s="68" t="s">
        <v>116</v>
      </c>
      <c r="B42" s="97" t="s">
        <v>117</v>
      </c>
      <c r="C42" s="98" t="s">
        <v>91</v>
      </c>
      <c r="D42" s="128" t="str">
        <f>IF('[1]U-MP1'!E39="","",(--SUBSTITUTE(('[1]U-MP1'!E39),"&lt;","")))</f>
        <v/>
      </c>
      <c r="E42" s="129" t="str">
        <f>IF('[1]U-MP2'!E39="","",(--SUBSTITUTE(('[1]U-MP2'!E39),"&lt;","")))</f>
        <v/>
      </c>
      <c r="F42" s="129" t="str">
        <f>IF('[1]U-MP3'!E39="","",(--SUBSTITUTE(('[1]U-MP3'!E39),"&lt;","")))</f>
        <v/>
      </c>
      <c r="G42" s="129" t="str">
        <f>IF('[1]U-MP4'!E39="","",(--SUBSTITUTE(('[1]U-MP4'!E39),"&lt;","")))</f>
        <v/>
      </c>
      <c r="H42" s="129" t="str">
        <f>IF('[1]U-MP5'!E39="","",(--SUBSTITUTE(('[1]U-MP5'!E39),"&lt;","")))</f>
        <v/>
      </c>
      <c r="I42" s="129" t="str">
        <f>IF('[1]U-MP6'!E39="","",(--SUBSTITUTE(('[1]U-MP6'!E39),"&lt;","")))</f>
        <v/>
      </c>
      <c r="J42" s="129" t="str">
        <f>IF('[1]U-MP7'!E39="","",(--SUBSTITUTE(('[1]U-MP7'!E39),"&lt;","")))</f>
        <v/>
      </c>
      <c r="K42" s="129" t="str">
        <f>IF('[1]U-MP8'!E39="","",(--SUBSTITUTE(('[1]U-MP8'!E39),"&lt;","")))</f>
        <v/>
      </c>
      <c r="L42" s="129" t="str">
        <f>IF('[1]U-MP9'!E39="","",(--SUBSTITUTE(('[1]U-MP9'!E39),"&lt;","")))</f>
        <v/>
      </c>
      <c r="M42" s="129" t="str">
        <f>IF('[1]U-MP10'!E39="","",(--SUBSTITUTE(('[1]U-MP10'!E39),"&lt;","")))</f>
        <v/>
      </c>
      <c r="N42" s="129" t="str">
        <f>IF('[1]U-MP11'!E39="","",(--SUBSTITUTE(('[1]U-MP11'!E39),"&lt;","")))</f>
        <v/>
      </c>
      <c r="O42" s="129" t="str">
        <f>IF('[1]U-MP12'!E39="","",(--SUBSTITUTE(('[1]U-MP12'!E39),"&lt;","")))</f>
        <v/>
      </c>
      <c r="P42" s="129" t="str">
        <f>IF('[1]U-MP13'!E39="","",(--SUBSTITUTE(('[1]U-MP13'!E39),"&lt;","")))</f>
        <v/>
      </c>
      <c r="Q42" s="129" t="str">
        <f>IF('[1]U-MP14'!E39="","",(--SUBSTITUTE(('[1]U-MP14'!E39),"&lt;","")))</f>
        <v/>
      </c>
      <c r="R42" s="130" t="str">
        <f>IF('[1]U-MP15'!E39="","",(--SUBSTITUTE(('[1]U-MP15'!E39),"&lt;","")))</f>
        <v/>
      </c>
      <c r="S42" s="80" t="str">
        <f t="shared" si="15"/>
        <v>-</v>
      </c>
      <c r="T42" s="131" t="str">
        <f t="shared" si="16"/>
        <v/>
      </c>
      <c r="U42" s="82" t="str">
        <f t="shared" si="17"/>
        <v/>
      </c>
      <c r="V42" s="83" t="str">
        <f t="shared" si="18"/>
        <v/>
      </c>
      <c r="W42" s="84" t="str">
        <f t="shared" si="10"/>
        <v/>
      </c>
      <c r="X42" s="84" t="str">
        <f t="shared" si="11"/>
        <v>-</v>
      </c>
      <c r="Y42" s="85">
        <f>IF(OR($C$3="",$C$3="Z0* IIIA",$C$3="Z0*",$C$3="Z1.1",$C$3="Z1.2",$C$3="Z2"),"",IF($C$3="DK-0,5","manuell",IF($C$3="DK I",0.03,IF($C$3="DK II",0.07,IF($C$3="DK III",0.5,IF($C$3="Reku Spalte 9","",0.006))))))</f>
        <v>0.03</v>
      </c>
      <c r="Z42" s="135" t="str">
        <f>IF(OR(D42="",W42="n.z.",X42="NEIN",Y42="manuell"),"-",IF(Y42="",MAX(D42:R42),IF(ROUND(MAX(D42:R42),3)&gt;Y42,"Überschreitung",IF(V42="---","Messwerte = 0",IF(MAX(D42:R42)&lt;=(0.5*Y42),0.5*Y42,IF(MAX(D42:R42)&lt;=Y42,ROUND(MAX(D42:R42),3),Y42))))))</f>
        <v>-</v>
      </c>
      <c r="AA42" s="87" t="str">
        <f t="shared" si="13"/>
        <v>-</v>
      </c>
      <c r="AB42" s="88" t="str">
        <f>IF(OR(COUNTBLANK(D42:R42)&gt;=14,AA42="JA",AA42="kein ZW",X42="NEIN",Y42="manuell"),"",IF(AND(AA42="NEIN",W42="X"),"n.z.",IF(COUNTIF(D42:R42,"&gt;"&amp;(Y42+0.0004999))&gt;(COUNT(D42:R42)*0.2),"NEIN",IF(ROUND(AVERAGE(D42:R42),0)&lt;=Y42,"JA","NEIN"))))</f>
        <v/>
      </c>
      <c r="AC42" s="136" t="str">
        <f>IF(AND(AB42="JA",S42&lt;10),ROUND(LARGE(D42:R42,2),3),IF(AND(AB42="JA",S42&gt;9,S42&lt;15),ROUND(LARGE(D42:R42,3),3),IF(AND(AB42="JA",S42=15),ROUND(LARGE(D42:R42,4),3),"-")))</f>
        <v>-</v>
      </c>
      <c r="AD42" s="90" t="str">
        <f t="shared" si="12"/>
        <v/>
      </c>
      <c r="AE42" s="137" t="str">
        <f t="shared" si="14"/>
        <v>-</v>
      </c>
    </row>
    <row r="43" spans="1:31" ht="13.5" x14ac:dyDescent="0.25">
      <c r="A43" s="68" t="s">
        <v>118</v>
      </c>
      <c r="B43" s="97" t="s">
        <v>119</v>
      </c>
      <c r="C43" s="98" t="s">
        <v>91</v>
      </c>
      <c r="D43" s="128" t="str">
        <f>IF('[1]U-MP1'!E40="","",(--SUBSTITUTE(('[1]U-MP1'!E40),"&lt;","")))</f>
        <v/>
      </c>
      <c r="E43" s="129" t="str">
        <f>IF('[1]U-MP2'!E40="","",(--SUBSTITUTE(('[1]U-MP2'!E40),"&lt;","")))</f>
        <v/>
      </c>
      <c r="F43" s="129" t="str">
        <f>IF('[1]U-MP3'!E40="","",(--SUBSTITUTE(('[1]U-MP3'!E40),"&lt;","")))</f>
        <v/>
      </c>
      <c r="G43" s="129" t="str">
        <f>IF('[1]U-MP4'!E40="","",(--SUBSTITUTE(('[1]U-MP4'!E40),"&lt;","")))</f>
        <v/>
      </c>
      <c r="H43" s="129" t="str">
        <f>IF('[1]U-MP5'!E40="","",(--SUBSTITUTE(('[1]U-MP5'!E40),"&lt;","")))</f>
        <v/>
      </c>
      <c r="I43" s="129" t="str">
        <f>IF('[1]U-MP6'!E40="","",(--SUBSTITUTE(('[1]U-MP6'!E40),"&lt;","")))</f>
        <v/>
      </c>
      <c r="J43" s="129" t="str">
        <f>IF('[1]U-MP7'!E40="","",(--SUBSTITUTE(('[1]U-MP7'!E40),"&lt;","")))</f>
        <v/>
      </c>
      <c r="K43" s="129" t="str">
        <f>IF('[1]U-MP8'!E40="","",(--SUBSTITUTE(('[1]U-MP8'!E40),"&lt;","")))</f>
        <v/>
      </c>
      <c r="L43" s="129" t="str">
        <f>IF('[1]U-MP9'!E40="","",(--SUBSTITUTE(('[1]U-MP9'!E40),"&lt;","")))</f>
        <v/>
      </c>
      <c r="M43" s="129" t="str">
        <f>IF('[1]U-MP10'!E40="","",(--SUBSTITUTE(('[1]U-MP10'!E40),"&lt;","")))</f>
        <v/>
      </c>
      <c r="N43" s="129" t="str">
        <f>IF('[1]U-MP11'!E40="","",(--SUBSTITUTE(('[1]U-MP11'!E40),"&lt;","")))</f>
        <v/>
      </c>
      <c r="O43" s="129" t="str">
        <f>IF('[1]U-MP12'!E40="","",(--SUBSTITUTE(('[1]U-MP12'!E40),"&lt;","")))</f>
        <v/>
      </c>
      <c r="P43" s="129" t="str">
        <f>IF('[1]U-MP13'!E40="","",(--SUBSTITUTE(('[1]U-MP13'!E40),"&lt;","")))</f>
        <v/>
      </c>
      <c r="Q43" s="129" t="str">
        <f>IF('[1]U-MP14'!E40="","",(--SUBSTITUTE(('[1]U-MP14'!E40),"&lt;","")))</f>
        <v/>
      </c>
      <c r="R43" s="130" t="str">
        <f>IF('[1]U-MP15'!E40="","",(--SUBSTITUTE(('[1]U-MP15'!E40),"&lt;","")))</f>
        <v/>
      </c>
      <c r="S43" s="80" t="str">
        <f t="shared" si="15"/>
        <v>-</v>
      </c>
      <c r="T43" s="131" t="str">
        <f t="shared" si="16"/>
        <v/>
      </c>
      <c r="U43" s="82" t="str">
        <f t="shared" si="17"/>
        <v/>
      </c>
      <c r="V43" s="83" t="str">
        <f t="shared" si="18"/>
        <v/>
      </c>
      <c r="W43" s="84" t="str">
        <f t="shared" si="10"/>
        <v/>
      </c>
      <c r="X43" s="84" t="str">
        <f t="shared" si="11"/>
        <v>-</v>
      </c>
      <c r="Y43" s="85">
        <f>IF(OR($C$3="",$C$3="Z0* IIIA",$C$3="Z0*",$C$3="Z1.1",$C$3="Z1.2",$C$3="Z2"),"",IF($C$3="DK-0,5","manuell",IF($C$3="DK I",0.12,IF($C$3="DK II",0.15,IF($C$3="DK III",1,IF($C$3="Reku Spalte 9","",0.1))))))</f>
        <v>0.12</v>
      </c>
      <c r="Z43" s="86" t="str">
        <f>IF(OR(D43="",W43="n.z.",X43="NEIN",Y43="manuell"),"-",IF(Y43="",MAX(D43:R43),IF(ROUND(MAX(D43:R43),1)&gt;Y43,"Überschreitung",IF(V43="---","Messwerte = 0",IF(MAX(D43:R43)&lt;=(0.5*Y43),0.5*Y43,IF(MAX(D43:R43)&lt;=Y43,ROUND(MAX(D43:R43),1),Y43))))))</f>
        <v>-</v>
      </c>
      <c r="AA43" s="87" t="str">
        <f t="shared" si="13"/>
        <v>-</v>
      </c>
      <c r="AB43" s="88" t="str">
        <f>IF(OR(COUNTBLANK(D43:R43)&gt;=14,AA43="JA",AA43="kein ZW",X43="NEIN",Y43="manuell"),"",IF(AND(AA43="NEIN",W43="X"),"n.z.",IF(COUNTIF(D43:R43,"&gt;"&amp;(Y43+0.04999))&gt;(COUNT(D43:R43)*0.2),"NEIN",IF(ROUND(AVERAGE(D43:R43),0)&lt;=Y43,"JA","NEIN"))))</f>
        <v/>
      </c>
      <c r="AC43" s="89" t="str">
        <f>IF(AND(AB43="JA",S43&lt;10),ROUND(LARGE(D43:R43,2),1),IF(AND(AB43="JA",S43&gt;9,S43&lt;15),ROUND(LARGE(D43:R43,3),1),IF(AND(AB43="JA",S43=15),ROUND(LARGE(D43:R43,4),1),"-")))</f>
        <v>-</v>
      </c>
      <c r="AD43" s="90" t="str">
        <f t="shared" si="12"/>
        <v/>
      </c>
      <c r="AE43" s="91" t="str">
        <f t="shared" si="14"/>
        <v>-</v>
      </c>
    </row>
    <row r="44" spans="1:31" x14ac:dyDescent="0.2">
      <c r="A44" s="68" t="s">
        <v>120</v>
      </c>
      <c r="B44" s="97" t="s">
        <v>121</v>
      </c>
      <c r="C44" s="98" t="s">
        <v>91</v>
      </c>
      <c r="D44" s="128" t="str">
        <f>IF('[1]U-MP1'!E41="","",(--SUBSTITUTE(('[1]U-MP1'!E41),"&lt;","")))</f>
        <v/>
      </c>
      <c r="E44" s="129" t="str">
        <f>IF('[1]U-MP2'!E41="","",(--SUBSTITUTE(('[1]U-MP2'!E41),"&lt;","")))</f>
        <v/>
      </c>
      <c r="F44" s="129" t="str">
        <f>IF('[1]U-MP3'!E41="","",(--SUBSTITUTE(('[1]U-MP3'!E41),"&lt;","")))</f>
        <v/>
      </c>
      <c r="G44" s="129" t="str">
        <f>IF('[1]U-MP4'!E41="","",(--SUBSTITUTE(('[1]U-MP4'!E41),"&lt;","")))</f>
        <v/>
      </c>
      <c r="H44" s="129" t="str">
        <f>IF('[1]U-MP5'!E41="","",(--SUBSTITUTE(('[1]U-MP5'!E41),"&lt;","")))</f>
        <v/>
      </c>
      <c r="I44" s="129" t="str">
        <f>IF('[1]U-MP6'!E41="","",(--SUBSTITUTE(('[1]U-MP6'!E41),"&lt;","")))</f>
        <v/>
      </c>
      <c r="J44" s="129" t="str">
        <f>IF('[1]U-MP7'!E41="","",(--SUBSTITUTE(('[1]U-MP7'!E41),"&lt;","")))</f>
        <v/>
      </c>
      <c r="K44" s="129" t="str">
        <f>IF('[1]U-MP8'!E41="","",(--SUBSTITUTE(('[1]U-MP8'!E41),"&lt;","")))</f>
        <v/>
      </c>
      <c r="L44" s="129" t="str">
        <f>IF('[1]U-MP9'!E41="","",(--SUBSTITUTE(('[1]U-MP9'!E41),"&lt;","")))</f>
        <v/>
      </c>
      <c r="M44" s="129" t="str">
        <f>IF('[1]U-MP10'!E41="","",(--SUBSTITUTE(('[1]U-MP10'!E41),"&lt;","")))</f>
        <v/>
      </c>
      <c r="N44" s="129" t="str">
        <f>IF('[1]U-MP11'!E41="","",(--SUBSTITUTE(('[1]U-MP11'!E41),"&lt;","")))</f>
        <v/>
      </c>
      <c r="O44" s="129" t="str">
        <f>IF('[1]U-MP12'!E41="","",(--SUBSTITUTE(('[1]U-MP12'!E41),"&lt;","")))</f>
        <v/>
      </c>
      <c r="P44" s="129" t="str">
        <f>IF('[1]U-MP13'!E41="","",(--SUBSTITUTE(('[1]U-MP13'!E41),"&lt;","")))</f>
        <v/>
      </c>
      <c r="Q44" s="129" t="str">
        <f>IF('[1]U-MP14'!E41="","",(--SUBSTITUTE(('[1]U-MP14'!E41),"&lt;","")))</f>
        <v/>
      </c>
      <c r="R44" s="130" t="str">
        <f>IF('[1]U-MP15'!E41="","",(--SUBSTITUTE(('[1]U-MP15'!E41),"&lt;","")))</f>
        <v/>
      </c>
      <c r="S44" s="80" t="str">
        <f t="shared" si="15"/>
        <v>-</v>
      </c>
      <c r="T44" s="131" t="str">
        <f t="shared" si="16"/>
        <v/>
      </c>
      <c r="U44" s="82" t="str">
        <f t="shared" si="17"/>
        <v/>
      </c>
      <c r="V44" s="83" t="str">
        <f t="shared" si="18"/>
        <v/>
      </c>
      <c r="W44" s="84" t="str">
        <f t="shared" si="10"/>
        <v/>
      </c>
      <c r="X44" s="84" t="str">
        <f t="shared" si="11"/>
        <v>-</v>
      </c>
      <c r="Y44" s="85">
        <f>IF(OR($C$3="",$C$3="Z0* IIIA",$C$3="Z0*",$C$3="Z1.1",$C$3="Z1.2",$C$3="Z2"),"",IF($C$3="DK-0,5","manuell",IF($C$3="DK I",0.03,IF($C$3="DK II",0.05,IF($C$3="DK III",0.7,IF($C$3="Reku Spalte 9","",0.01))))))</f>
        <v>0.03</v>
      </c>
      <c r="Z44" s="132" t="str">
        <f>IF(OR(D44="",W44="n.z.",X44="NEIN",Y44="manuell"),"-",IF(Y44="",MAX(D44:R44),IF(ROUND(MAX(D44:R44),2)&gt;Y44,"Überschreitung",IF(V44="---","Messwerte = 0",IF(MAX(D44:R44)&lt;=(0.5*Y44),0.5*Y44,IF(MAX(D44:R44)&lt;=Y44,ROUND(MAX(D44:R44),2),Y44))))))</f>
        <v>-</v>
      </c>
      <c r="AA44" s="87" t="str">
        <f t="shared" si="13"/>
        <v>-</v>
      </c>
      <c r="AB44" s="88" t="str">
        <f>IF(OR(COUNTBLANK(D44:R44)&gt;=14,AA44="JA",AA44="kein ZW",X44="NEIN",Y44="manuell"),"",IF(AND(AA44="NEIN",W44="X"),"n.z.",IF(COUNTIF(D44:R44,"&gt;"&amp;(Y44+0.004999))&gt;(COUNT(D44:R44)*0.2),"NEIN",IF(ROUND(AVERAGE(D44:R44),0)&lt;=Y44,"JA","NEIN"))))</f>
        <v/>
      </c>
      <c r="AC44" s="133" t="str">
        <f>IF(AND(AB44="JA",S44&lt;10),ROUND(LARGE(D44:R44,2),2),IF(AND(AB44="JA",S44&gt;9,S44&lt;15),ROUND(LARGE(D44:R44,3),2),IF(AND(AB44="JA",S44=15),ROUND(LARGE(D44:R44,4),2),"-")))</f>
        <v>-</v>
      </c>
      <c r="AD44" s="90" t="str">
        <f t="shared" si="12"/>
        <v/>
      </c>
      <c r="AE44" s="134" t="str">
        <f t="shared" si="14"/>
        <v>-</v>
      </c>
    </row>
    <row r="45" spans="1:31" ht="24" x14ac:dyDescent="0.2">
      <c r="A45" s="68" t="s">
        <v>122</v>
      </c>
      <c r="B45" s="97" t="s">
        <v>123</v>
      </c>
      <c r="C45" s="98" t="s">
        <v>91</v>
      </c>
      <c r="D45" s="125" t="str">
        <f>IF('[1]U-MP1'!E42="","",(--SUBSTITUTE(('[1]U-MP1'!E42),"&lt;","")))</f>
        <v/>
      </c>
      <c r="E45" s="126" t="str">
        <f>IF('[1]U-MP2'!E42="","",(--SUBSTITUTE(('[1]U-MP2'!E42),"&lt;","")))</f>
        <v/>
      </c>
      <c r="F45" s="126" t="str">
        <f>IF('[1]U-MP3'!E42="","",(--SUBSTITUTE(('[1]U-MP3'!E42),"&lt;","")))</f>
        <v/>
      </c>
      <c r="G45" s="126" t="str">
        <f>IF('[1]U-MP4'!E42="","",(--SUBSTITUTE(('[1]U-MP4'!E42),"&lt;","")))</f>
        <v/>
      </c>
      <c r="H45" s="126" t="str">
        <f>IF('[1]U-MP5'!E42="","",(--SUBSTITUTE(('[1]U-MP5'!E42),"&lt;","")))</f>
        <v/>
      </c>
      <c r="I45" s="126" t="str">
        <f>IF('[1]U-MP6'!E42="","",(--SUBSTITUTE(('[1]U-MP6'!E42),"&lt;","")))</f>
        <v/>
      </c>
      <c r="J45" s="126" t="str">
        <f>IF('[1]U-MP7'!E42="","",(--SUBSTITUTE(('[1]U-MP7'!E42),"&lt;","")))</f>
        <v/>
      </c>
      <c r="K45" s="126" t="str">
        <f>IF('[1]U-MP8'!E42="","",(--SUBSTITUTE(('[1]U-MP8'!E42),"&lt;","")))</f>
        <v/>
      </c>
      <c r="L45" s="126" t="str">
        <f>IF('[1]U-MP9'!E42="","",(--SUBSTITUTE(('[1]U-MP9'!E42),"&lt;","")))</f>
        <v/>
      </c>
      <c r="M45" s="126" t="str">
        <f>IF('[1]U-MP10'!E42="","",(--SUBSTITUTE(('[1]U-MP10'!E42),"&lt;","")))</f>
        <v/>
      </c>
      <c r="N45" s="126" t="str">
        <f>IF('[1]U-MP11'!E42="","",(--SUBSTITUTE(('[1]U-MP11'!E42),"&lt;","")))</f>
        <v/>
      </c>
      <c r="O45" s="126" t="str">
        <f>IF('[1]U-MP12'!E42="","",(--SUBSTITUTE(('[1]U-MP12'!E42),"&lt;","")))</f>
        <v/>
      </c>
      <c r="P45" s="126" t="str">
        <f>IF('[1]U-MP13'!E42="","",(--SUBSTITUTE(('[1]U-MP13'!E42),"&lt;","")))</f>
        <v/>
      </c>
      <c r="Q45" s="126" t="str">
        <f>IF('[1]U-MP14'!E42="","",(--SUBSTITUTE(('[1]U-MP14'!E42),"&lt;","")))</f>
        <v/>
      </c>
      <c r="R45" s="127" t="str">
        <f>IF('[1]U-MP15'!E42="","",(--SUBSTITUTE(('[1]U-MP15'!E42),"&lt;","")))</f>
        <v/>
      </c>
      <c r="S45" s="80" t="str">
        <f t="shared" si="15"/>
        <v>-</v>
      </c>
      <c r="T45" s="103" t="str">
        <f t="shared" si="16"/>
        <v/>
      </c>
      <c r="U45" s="82" t="str">
        <f t="shared" si="17"/>
        <v/>
      </c>
      <c r="V45" s="83" t="str">
        <f t="shared" si="18"/>
        <v/>
      </c>
      <c r="W45" s="84" t="str">
        <f t="shared" si="10"/>
        <v/>
      </c>
      <c r="X45" s="84" t="str">
        <f t="shared" si="11"/>
        <v>-</v>
      </c>
      <c r="Y45" s="85">
        <f>IF(OR($C$3="",$C$3="Z0* IIIA",$C$3="Z0*",$C$3="Z1.1",$C$3="Z1.2",$C$3="Z2",$C$3="Reku Spalte 9"),"",IF($C$3="DK-0,5","manuell",IF($C$3="DK I",3000,IF($C$3="DK II",6000,IF($C$3="DK III",10000,400)))))</f>
        <v>3000</v>
      </c>
      <c r="Z45" s="87" t="str">
        <f>IF(OR(D45="",W45="n.z.",X45="NEIN",Y45="manuell"),"-",IF(Y45="",MAX(D45:R45),IF(ROUND(MAX(D45:R45),0)&gt;Y45,"Überschreitung",IF(V45="---","Messwerte = 0",IF(MAX(D45:R45)&lt;=(0.5*Y45),0.5*Y45,IF(MAX(D45:R45)&lt;=Y45,ROUND(MAX(D45:R45),0),Y45))))))</f>
        <v>-</v>
      </c>
      <c r="AA45" s="87" t="str">
        <f t="shared" si="13"/>
        <v>-</v>
      </c>
      <c r="AB45" s="88" t="str">
        <f>IF(OR(COUNTBLANK(D45:R45)&gt;=14,AA45="JA",AA45="kein ZW",X45="NEIN",Y45="manuell"),"",IF(COUNTIF(D45:R45,"&gt;"&amp;(Y45+0.4999))&gt;(COUNT(D45:R45)*0.2),"NEIN",IF(ROUND(AVERAGE(D45:R45),0)&lt;=Y45,"JA","NEIN")))</f>
        <v/>
      </c>
      <c r="AC45" s="90" t="str">
        <f>IF(AND(AB45="JA",S45&lt;10),ROUND(LARGE(D45:R45,2),0),IF(AND(AB45="JA",S45&gt;9,S45&lt;15),ROUND(LARGE(D45:R45,3),0),IF(AND(AB45="JA",S45=15),ROUND(LARGE(D45:R45,4),0),"-")))</f>
        <v>-</v>
      </c>
      <c r="AD45" s="90" t="str">
        <f t="shared" si="12"/>
        <v/>
      </c>
      <c r="AE45" s="96" t="str">
        <f t="shared" si="14"/>
        <v>-</v>
      </c>
    </row>
    <row r="46" spans="1:31" ht="12.75" customHeight="1" thickBot="1" x14ac:dyDescent="0.25">
      <c r="A46" s="106" t="s">
        <v>124</v>
      </c>
      <c r="B46" s="107" t="s">
        <v>125</v>
      </c>
      <c r="C46" s="142" t="s">
        <v>126</v>
      </c>
      <c r="D46" s="143" t="str">
        <f>IF('[1]U-MP1'!E43="","",(--SUBSTITUTE(('[1]U-MP1'!E43),"&lt;","")))</f>
        <v/>
      </c>
      <c r="E46" s="144" t="str">
        <f>IF('[1]U-MP2'!E43="","",(--SUBSTITUTE(('[1]U-MP2'!E43),"&lt;","")))</f>
        <v/>
      </c>
      <c r="F46" s="144" t="str">
        <f>IF('[1]U-MP3'!E43="","",(--SUBSTITUTE(('[1]U-MP3'!E43),"&lt;","")))</f>
        <v/>
      </c>
      <c r="G46" s="144" t="str">
        <f>IF('[1]U-MP4'!E43="","",(--SUBSTITUTE(('[1]U-MP4'!E43),"&lt;","")))</f>
        <v/>
      </c>
      <c r="H46" s="144" t="str">
        <f>IF('[1]U-MP5'!E43="","",(--SUBSTITUTE(('[1]U-MP5'!E43),"&lt;","")))</f>
        <v/>
      </c>
      <c r="I46" s="144" t="str">
        <f>IF('[1]U-MP6'!E43="","",(--SUBSTITUTE(('[1]U-MP6'!E43),"&lt;","")))</f>
        <v/>
      </c>
      <c r="J46" s="144" t="str">
        <f>IF('[1]U-MP7'!E43="","",(--SUBSTITUTE(('[1]U-MP7'!E43),"&lt;","")))</f>
        <v/>
      </c>
      <c r="K46" s="144" t="str">
        <f>IF('[1]U-MP8'!E43="","",(--SUBSTITUTE(('[1]U-MP8'!E43),"&lt;","")))</f>
        <v/>
      </c>
      <c r="L46" s="144" t="str">
        <f>IF('[1]U-MP9'!E43="","",(--SUBSTITUTE(('[1]U-MP9'!E43),"&lt;","")))</f>
        <v/>
      </c>
      <c r="M46" s="144" t="str">
        <f>IF('[1]U-MP10'!E43="","",(--SUBSTITUTE(('[1]U-MP10'!E43),"&lt;","")))</f>
        <v/>
      </c>
      <c r="N46" s="144" t="str">
        <f>IF('[1]U-MP11'!E43="","",(--SUBSTITUTE(('[1]U-MP11'!E43),"&lt;","")))</f>
        <v/>
      </c>
      <c r="O46" s="144" t="str">
        <f>IF('[1]U-MP12'!E43="","",(--SUBSTITUTE(('[1]U-MP12'!E43),"&lt;","")))</f>
        <v/>
      </c>
      <c r="P46" s="144" t="str">
        <f>IF('[1]U-MP13'!E43="","",(--SUBSTITUTE(('[1]U-MP13'!E43),"&lt;","")))</f>
        <v/>
      </c>
      <c r="Q46" s="144" t="str">
        <f>IF('[1]U-MP14'!E43="","",(--SUBSTITUTE(('[1]U-MP14'!E43),"&lt;","")))</f>
        <v/>
      </c>
      <c r="R46" s="145" t="str">
        <f>IF('[1]U-MP15'!E43="","",(--SUBSTITUTE(('[1]U-MP15'!E43),"&lt;","")))</f>
        <v/>
      </c>
      <c r="S46" s="80" t="str">
        <f t="shared" si="15"/>
        <v>-</v>
      </c>
      <c r="T46" s="95" t="str">
        <f t="shared" si="16"/>
        <v/>
      </c>
      <c r="U46" s="82" t="str">
        <f t="shared" si="17"/>
        <v/>
      </c>
      <c r="V46" s="83" t="str">
        <f t="shared" si="18"/>
        <v/>
      </c>
      <c r="W46" s="84" t="str">
        <f t="shared" si="10"/>
        <v/>
      </c>
      <c r="X46" s="84" t="str">
        <f t="shared" si="11"/>
        <v>-</v>
      </c>
      <c r="Y46" s="85" t="str">
        <f>IF(OR($C$3=""),"",IF($C$3="Z0* IIIA",250,IF($C$3="Z0*",250,IF($C$3="Z1.1",250,IF($C$3="Z1.2",1500,IF($C$3="Z2",2000,IF($C$3="DK-0,5","manuell",IF($C$3="DK I","",IF($C$3="DK II","",IF($C$3="DK III","",IF($C$3="Reku Spalte 9",500,"")))))))))))</f>
        <v/>
      </c>
      <c r="Z46" s="87" t="str">
        <f>IF(OR(D46="",W46="n.z.",X46="NEIN",Y46="manuell"),"-",IF(Y46="",MAX(D46:R46),IF(ROUND(MAX(D46:R46),0)&gt;Y46,"Überschreitung",IF(V46="---","Messwerte = 0",IF(MAX(D46:R46)&lt;=(0.5*Y46),0.5*Y46,IF(MAX(D46:R46)&lt;=Y46,ROUND(MAX(D46:R46),0),Y46))))))</f>
        <v>-</v>
      </c>
      <c r="AA46" s="87" t="str">
        <f t="shared" si="13"/>
        <v>-</v>
      </c>
      <c r="AB46" s="146" t="str">
        <f>IF(OR(COUNTBLANK(D46:R46)&gt;=14,AA46="JA",AA46="kein ZW",X46="NEIN",Y46="manuell"),"",IF(AND(AA46="NEIN",W46="X"),"n.z.",IF(COUNTIF(D46:R46,"&gt;"&amp;(Y46+0.4999))&gt;(COUNT(D46:R46)*0.2),"NEIN",IF(ROUND(AVERAGE(D46:R46),0)&lt;=Y46,"JA","NEIN"))))</f>
        <v/>
      </c>
      <c r="AC46" s="55" t="str">
        <f>IF(AND(AB46="JA",S46&lt;10),ROUND(LARGE(D46:R46,2),0),IF(AND(AB46="JA",S46&gt;9,S46&lt;15),ROUND(LARGE(D46:R46,3),0),IF(AND(AB46="JA",S46=15),ROUND(LARGE(D46:R46,4),0),"-")))</f>
        <v>-</v>
      </c>
      <c r="AD46" s="55" t="str">
        <f t="shared" si="12"/>
        <v/>
      </c>
      <c r="AE46" s="56" t="str">
        <f t="shared" si="14"/>
        <v>-</v>
      </c>
    </row>
    <row r="47" spans="1:31" x14ac:dyDescent="0.2">
      <c r="A47" s="147">
        <v>4</v>
      </c>
      <c r="B47" s="148" t="s">
        <v>127</v>
      </c>
      <c r="C47" s="149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1"/>
      <c r="T47" s="151"/>
      <c r="U47" s="152"/>
      <c r="V47" s="151"/>
      <c r="W47" s="151"/>
      <c r="X47" s="151"/>
      <c r="Y47" s="151"/>
      <c r="Z47" s="151"/>
      <c r="AA47" s="151"/>
      <c r="AB47" s="119"/>
      <c r="AC47" s="66"/>
      <c r="AD47" s="67"/>
      <c r="AE47" s="120"/>
    </row>
    <row r="48" spans="1:31" ht="12.95" customHeight="1" x14ac:dyDescent="0.25">
      <c r="A48" s="68" t="s">
        <v>128</v>
      </c>
      <c r="B48" s="97" t="s">
        <v>129</v>
      </c>
      <c r="C48" s="98" t="s">
        <v>130</v>
      </c>
      <c r="D48" s="143" t="str">
        <f>IF('[1]U-MP1'!E45="","",(--SUBSTITUTE(('[1]U-MP1'!E45),"&lt;","")))</f>
        <v/>
      </c>
      <c r="E48" s="144" t="str">
        <f>IF('[1]U-MP2'!E45="","",(--SUBSTITUTE(('[1]U-MP2'!E45),"&lt;","")))</f>
        <v/>
      </c>
      <c r="F48" s="144" t="str">
        <f>IF('[1]U-MP3'!E45="","",(--SUBSTITUTE(('[1]U-MP3'!E45),"&lt;","")))</f>
        <v/>
      </c>
      <c r="G48" s="144" t="str">
        <f>IF('[1]U-MP4'!E45="","",(--SUBSTITUTE(('[1]U-MP4'!E45),"&lt;","")))</f>
        <v/>
      </c>
      <c r="H48" s="144" t="str">
        <f>IF('[1]U-MP5'!E45="","",(--SUBSTITUTE(('[1]U-MP5'!E45),"&lt;","")))</f>
        <v/>
      </c>
      <c r="I48" s="144" t="str">
        <f>IF('[1]U-MP6'!E45="","",(--SUBSTITUTE(('[1]U-MP6'!E45),"&lt;","")))</f>
        <v/>
      </c>
      <c r="J48" s="144" t="str">
        <f>IF('[1]U-MP7'!E45="","",(--SUBSTITUTE(('[1]U-MP7'!E45),"&lt;","")))</f>
        <v/>
      </c>
      <c r="K48" s="144" t="str">
        <f>IF('[1]U-MP8'!E45="","",(--SUBSTITUTE(('[1]U-MP8'!E45),"&lt;","")))</f>
        <v/>
      </c>
      <c r="L48" s="144" t="str">
        <f>IF('[1]U-MP9'!E45="","",(--SUBSTITUTE(('[1]U-MP9'!E45),"&lt;","")))</f>
        <v/>
      </c>
      <c r="M48" s="144" t="str">
        <f>IF('[1]U-MP10'!E45="","",(--SUBSTITUTE(('[1]U-MP10'!E45),"&lt;","")))</f>
        <v/>
      </c>
      <c r="N48" s="144" t="str">
        <f>IF('[1]U-MP11'!E45="","",(--SUBSTITUTE(('[1]U-MP11'!E45),"&lt;","")))</f>
        <v/>
      </c>
      <c r="O48" s="144" t="str">
        <f>IF('[1]U-MP12'!E45="","",(--SUBSTITUTE(('[1]U-MP12'!E45),"&lt;","")))</f>
        <v/>
      </c>
      <c r="P48" s="144" t="str">
        <f>IF('[1]U-MP13'!E45="","",(--SUBSTITUTE(('[1]U-MP13'!E45),"&lt;","")))</f>
        <v/>
      </c>
      <c r="Q48" s="144" t="str">
        <f>IF('[1]U-MP14'!E45="","",(--SUBSTITUTE(('[1]U-MP14'!E45),"&lt;","")))</f>
        <v/>
      </c>
      <c r="R48" s="145" t="str">
        <f>IF('[1]U-MP15'!E45="","",(--SUBSTITUTE(('[1]U-MP15'!E45),"&lt;","")))</f>
        <v/>
      </c>
      <c r="S48" s="80" t="str">
        <f t="shared" ref="S48:S60" si="19">IF(COUNTBLANK(D48:R48)&lt;15,COUNT(D48:R48),"-")</f>
        <v>-</v>
      </c>
      <c r="T48" s="95" t="str">
        <f t="shared" ref="T48:T60" si="20">IF(COUNTBLANK(D48:R48)&gt;14,"",IF(SUM(D48:R48)=0,"---",AVERAGE(D48:R48)))</f>
        <v/>
      </c>
      <c r="U48" s="82" t="str">
        <f t="shared" ref="U48:U60" si="21">IF(COUNTBLANK(D48:R48)&gt;14,"",IF(COUNT(D48:R48)&lt;2,"---",STDEV(D48:R48)))</f>
        <v/>
      </c>
      <c r="V48" s="83" t="str">
        <f t="shared" ref="V48:V60" si="22">IF(COUNTBLANK(D48:R48)&gt;14,"",IF(COUNTBLANK(D48:R48)=14,"ein Messwert",IF(ISTEXT(Y48),"kein ZW",IF(SUM(D48:R48)=0,"---",IF(MAX(D48:R48)&lt;(0.5*Y48),"&lt; 50% ZW",IF(MAX(D48:R48)&gt;2*MIN(D48:R48),"inhomogen","homogen"))))))</f>
        <v/>
      </c>
      <c r="W48" s="84" t="str">
        <f t="shared" ref="W48:W61" si="23">IF(S48&gt;=$V$2,"", IF(COUNTBLANK(D48:R48)=14,"n.z.","X"))</f>
        <v/>
      </c>
      <c r="X48" s="84" t="str">
        <f t="shared" ref="X48:X61" si="24">IF(OR(W48="",V48="kein ZW"),"-",IF(COUNTBLANK(D48:R48)=14,"NEIN",IF(AND(V48="inhomogen",S48&lt;$V$2),"NEIN",IF(AND($S$1&gt;500,S48&lt;2+(ROUNDUP(($S$1-500)/300,0))),"NEIN-U","JA"))))</f>
        <v>-</v>
      </c>
      <c r="Y48" s="85">
        <v>6000</v>
      </c>
      <c r="Z48" s="87" t="str">
        <f t="shared" ref="Z48:Z53" si="25">IF(OR(D48="",W48="n.z.",X48="NEIN",Y48="manuell"),"-",IF(Y48="",MAX(D48:R48),IF(ROUND(MAX(D48:R48),0)&gt;Y48,"Überschreitung",IF(V48="---","Messwerte = 0",IF(MAX(D48:R48)&lt;=(0.5*Y48),0.5*Y48,IF(MAX(D48:R48)&lt;=Y48,ROUND(MAX(D48:R48),0),Y48))))))</f>
        <v>-</v>
      </c>
      <c r="AA48" s="87" t="str">
        <f t="shared" ref="AA48:AA61" si="26">IF(AND(ISNUMBER(Z48),OR(V48="homogen",V48="&lt; 50% ZW",AND(V48="inhomogen",S48&gt;=$V$2))),"JA",IF(OR(Z48="-",Z48="Messwerte = 0"),"-",(IF(V48="kein ZW","kein ZW","NEIN"))))</f>
        <v>-</v>
      </c>
      <c r="AB48" s="88" t="str">
        <f>IF(OR(COUNTBLANK(D48:R48)&gt;=14,AA48="JA",AA47="kein ZW",X48="NEIN",Y48="manuell"),"",IF(AND(AA48="NEIN",W48="X"),"n.z.",IF(COUNTIF(D48:R48,"&gt;"&amp;(Y48+0.4999))&gt;(COUNT(D48:R48)*0.2),"NEIN",IF(ROUND(AVERAGE(D48:R48),0)&lt;=Y48,"JA","NEIN"))))</f>
        <v/>
      </c>
      <c r="AC48" s="90" t="str">
        <f t="shared" ref="AC48:AC53" si="27">IF(AND(AB48="JA",S48&lt;10),ROUND(LARGE(D48:R48,2),0),IF(AND(AB48="JA",S48&gt;9,S48&lt;15),ROUND(LARGE(D48:R48,3),0),IF(AND(AB48="JA",S48=15),ROUND(LARGE(D48:R48,4),0),"-")))</f>
        <v>-</v>
      </c>
      <c r="AD48" s="90" t="str">
        <f t="shared" ref="AD48:AD61" si="28">IF(OR(COUNTBLANK(D48:R48)&gt;=14,AA48="JA",AB48="JA",AA48="kein ZW",X48="NEIN",Y48="manuell"),"",IF(AB48="n.z.","n.z.",IF(ROUND((AVERAGE(D48:R48))+1.65*STDEV(D48:R48)/(SQRT(COUNT(D48:R48))),0)&lt;=Y48,"JA","NEIN")))</f>
        <v/>
      </c>
      <c r="AE48" s="96" t="str">
        <f>IF(AD48="JA",ROUND((AVERAGE(D48:R48))+1.65*STDEV(D48:R48)/(SQRT(COUNT(D48:R48))),0),"-")</f>
        <v>-</v>
      </c>
    </row>
    <row r="49" spans="1:31" ht="12" customHeight="1" x14ac:dyDescent="0.2">
      <c r="A49" s="68" t="s">
        <v>131</v>
      </c>
      <c r="B49" s="97" t="s">
        <v>132</v>
      </c>
      <c r="C49" s="98" t="s">
        <v>133</v>
      </c>
      <c r="D49" s="125" t="str">
        <f>IF('[1]U-MP1'!E46="","",(--SUBSTITUTE(('[1]U-MP1'!E46),"&lt;","")))</f>
        <v/>
      </c>
      <c r="E49" s="126" t="str">
        <f>IF('[1]U-MP2'!E46="","",(--SUBSTITUTE(('[1]U-MP2'!E46),"&lt;","")))</f>
        <v/>
      </c>
      <c r="F49" s="126" t="str">
        <f>IF('[1]U-MP3'!E46="","",(--SUBSTITUTE(('[1]U-MP3'!E46),"&lt;","")))</f>
        <v/>
      </c>
      <c r="G49" s="126" t="str">
        <f>IF('[1]U-MP4'!E46="","",(--SUBSTITUTE(('[1]U-MP4'!E46),"&lt;","")))</f>
        <v/>
      </c>
      <c r="H49" s="126" t="str">
        <f>IF('[1]U-MP5'!E46="","",(--SUBSTITUTE(('[1]U-MP5'!E46),"&lt;","")))</f>
        <v/>
      </c>
      <c r="I49" s="126" t="str">
        <f>IF('[1]U-MP6'!E46="","",(--SUBSTITUTE(('[1]U-MP6'!E46),"&lt;","")))</f>
        <v/>
      </c>
      <c r="J49" s="126" t="str">
        <f>IF('[1]U-MP7'!E46="","",(--SUBSTITUTE(('[1]U-MP7'!E46),"&lt;","")))</f>
        <v/>
      </c>
      <c r="K49" s="126" t="str">
        <f>IF('[1]U-MP8'!E46="","",(--SUBSTITUTE(('[1]U-MP8'!E46),"&lt;","")))</f>
        <v/>
      </c>
      <c r="L49" s="126" t="str">
        <f>IF('[1]U-MP9'!E46="","",(--SUBSTITUTE(('[1]U-MP9'!E46),"&lt;","")))</f>
        <v/>
      </c>
      <c r="M49" s="126" t="str">
        <f>IF('[1]U-MP10'!E46="","",(--SUBSTITUTE(('[1]U-MP10'!E46),"&lt;","")))</f>
        <v/>
      </c>
      <c r="N49" s="126" t="str">
        <f>IF('[1]U-MP11'!E46="","",(--SUBSTITUTE(('[1]U-MP11'!E46),"&lt;","")))</f>
        <v/>
      </c>
      <c r="O49" s="126" t="str">
        <f>IF('[1]U-MP12'!E46="","",(--SUBSTITUTE(('[1]U-MP12'!E46),"&lt;","")))</f>
        <v/>
      </c>
      <c r="P49" s="126" t="str">
        <f>IF('[1]U-MP13'!E46="","",(--SUBSTITUTE(('[1]U-MP13'!E46),"&lt;","")))</f>
        <v/>
      </c>
      <c r="Q49" s="126" t="str">
        <f>IF('[1]U-MP14'!E46="","",(--SUBSTITUTE(('[1]U-MP14'!E46),"&lt;","")))</f>
        <v/>
      </c>
      <c r="R49" s="127" t="str">
        <f>IF('[1]U-MP15'!E46="","",(--SUBSTITUTE(('[1]U-MP15'!E46),"&lt;","")))</f>
        <v/>
      </c>
      <c r="S49" s="80" t="str">
        <f t="shared" si="19"/>
        <v>-</v>
      </c>
      <c r="T49" s="103" t="str">
        <f t="shared" si="20"/>
        <v/>
      </c>
      <c r="U49" s="82" t="str">
        <f t="shared" si="21"/>
        <v/>
      </c>
      <c r="V49" s="83" t="str">
        <f t="shared" si="22"/>
        <v/>
      </c>
      <c r="W49" s="84" t="str">
        <f t="shared" si="23"/>
        <v/>
      </c>
      <c r="X49" s="84" t="str">
        <f t="shared" si="24"/>
        <v>-</v>
      </c>
      <c r="Y49" s="85">
        <v>5</v>
      </c>
      <c r="Z49" s="87" t="str">
        <f t="shared" si="25"/>
        <v>-</v>
      </c>
      <c r="AA49" s="87" t="str">
        <f t="shared" si="26"/>
        <v>-</v>
      </c>
      <c r="AB49" s="88" t="str">
        <f>IF(OR(COUNTBLANK(D49:R49)&gt;=14,AA49="JA",AA48="kein ZW",X49="NEIN",Y49="manuell"),"",IF(AND(AA49="NEIN",W49="X"),"n.z.",IF(COUNTIF(D49:R49,"&gt;"&amp;(Y49+0.4999))&gt;(COUNT(D49:R49)*0.2),"NEIN",IF(ROUND(AVERAGE(D49:R49),0)&lt;=Y49,"JA","NEIN"))))</f>
        <v/>
      </c>
      <c r="AC49" s="90" t="str">
        <f t="shared" si="27"/>
        <v>-</v>
      </c>
      <c r="AD49" s="90" t="str">
        <f t="shared" si="28"/>
        <v/>
      </c>
      <c r="AE49" s="96" t="str">
        <f t="shared" ref="AE49:AE60" si="29">IF(AD49="JA",ROUND((AVERAGE(D49:R49))+1.65*STDEV(D49:R49)/(SQRT(COUNT(D49:R49))),0),"-")</f>
        <v>-</v>
      </c>
    </row>
    <row r="50" spans="1:31" ht="12.95" customHeight="1" x14ac:dyDescent="0.2">
      <c r="A50" s="68" t="s">
        <v>134</v>
      </c>
      <c r="B50" s="97" t="s">
        <v>135</v>
      </c>
      <c r="C50" s="98" t="s">
        <v>55</v>
      </c>
      <c r="D50" s="121" t="str">
        <f>IF('[1]U-MP1'!E47="","",(--SUBSTITUTE(('[1]U-MP1'!E47),"&lt;","")))</f>
        <v/>
      </c>
      <c r="E50" s="122" t="str">
        <f>IF('[1]U-MP2'!E47="","",(--SUBSTITUTE(('[1]U-MP2'!E47),"&lt;","")))</f>
        <v/>
      </c>
      <c r="F50" s="122" t="str">
        <f>IF('[1]U-MP3'!E47="","",(--SUBSTITUTE(('[1]U-MP3'!E47),"&lt;","")))</f>
        <v/>
      </c>
      <c r="G50" s="122" t="str">
        <f>IF('[1]U-MP4'!E47="","",(--SUBSTITUTE(('[1]U-MP4'!E47),"&lt;","")))</f>
        <v/>
      </c>
      <c r="H50" s="122" t="str">
        <f>IF('[1]U-MP5'!E47="","",(--SUBSTITUTE(('[1]U-MP5'!E47),"&lt;","")))</f>
        <v/>
      </c>
      <c r="I50" s="122" t="str">
        <f>IF('[1]U-MP6'!E47="","",(--SUBSTITUTE(('[1]U-MP6'!E47),"&lt;","")))</f>
        <v/>
      </c>
      <c r="J50" s="122" t="str">
        <f>IF('[1]U-MP7'!E47="","",(--SUBSTITUTE(('[1]U-MP7'!E47),"&lt;","")))</f>
        <v/>
      </c>
      <c r="K50" s="122" t="str">
        <f>IF('[1]U-MP8'!E47="","",(--SUBSTITUTE(('[1]U-MP8'!E47),"&lt;","")))</f>
        <v/>
      </c>
      <c r="L50" s="122" t="str">
        <f>IF('[1]U-MP9'!E47="","",(--SUBSTITUTE(('[1]U-MP9'!E47),"&lt;","")))</f>
        <v/>
      </c>
      <c r="M50" s="122" t="str">
        <f>IF('[1]U-MP10'!E47="","",(--SUBSTITUTE(('[1]U-MP10'!E47),"&lt;","")))</f>
        <v/>
      </c>
      <c r="N50" s="122" t="str">
        <f>IF('[1]U-MP11'!E47="","",(--SUBSTITUTE(('[1]U-MP11'!E47),"&lt;","")))</f>
        <v/>
      </c>
      <c r="O50" s="122" t="str">
        <f>IF('[1]U-MP12'!E47="","",(--SUBSTITUTE(('[1]U-MP12'!E47),"&lt;","")))</f>
        <v/>
      </c>
      <c r="P50" s="122" t="str">
        <f>IF('[1]U-MP13'!E47="","",(--SUBSTITUTE(('[1]U-MP13'!E47),"&lt;","")))</f>
        <v/>
      </c>
      <c r="Q50" s="122" t="str">
        <f>IF('[1]U-MP14'!E47="","",(--SUBSTITUTE(('[1]U-MP14'!E47),"&lt;","")))</f>
        <v/>
      </c>
      <c r="R50" s="123" t="str">
        <f>IF('[1]U-MP15'!E47="","",(--SUBSTITUTE(('[1]U-MP15'!E47),"&lt;","")))</f>
        <v/>
      </c>
      <c r="S50" s="80" t="str">
        <f t="shared" si="19"/>
        <v>-</v>
      </c>
      <c r="T50" s="81" t="str">
        <f t="shared" si="20"/>
        <v/>
      </c>
      <c r="U50" s="82" t="str">
        <f t="shared" si="21"/>
        <v/>
      </c>
      <c r="V50" s="83" t="str">
        <f t="shared" si="22"/>
        <v/>
      </c>
      <c r="W50" s="84" t="str">
        <f t="shared" si="23"/>
        <v/>
      </c>
      <c r="X50" s="84" t="str">
        <f t="shared" si="24"/>
        <v>-</v>
      </c>
      <c r="Y50" s="85">
        <f>IF(OR($C$3="",$C$3="Z0* IIIA",$C$3="Z0*",$C$3="Z1.1",$C$3="Z1.2",$C$3="Z2",$C$3="DK-0,5",$C$3="Reku Spalte 9"),"",IF($C$3="DK I",5,IF($C$3="DK II",5,IF($C$3="DK III",5,2))))</f>
        <v>5</v>
      </c>
      <c r="Z50" s="87" t="str">
        <f t="shared" si="25"/>
        <v>-</v>
      </c>
      <c r="AA50" s="87" t="str">
        <f t="shared" si="26"/>
        <v>-</v>
      </c>
      <c r="AB50" s="88" t="str">
        <f>IF(OR(COUNTBLANK(D50:R50)&gt;=14,AA50="JA",AA50="kein ZW",X50="NEIN",Y50="manuell"),"",IF(AND(AA50="NEIN",W50="X"),"n.z.",IF(COUNTIF(D50:R50,"&gt;"&amp;(Y50+0.4999))&gt;(COUNT(D50:R50)*0.2),"NEIN",IF(ROUND(AVERAGE(D50:R50),0)&lt;=Y50,"JA","NEIN"))))</f>
        <v/>
      </c>
      <c r="AC50" s="90" t="str">
        <f t="shared" si="27"/>
        <v>-</v>
      </c>
      <c r="AD50" s="90" t="str">
        <f t="shared" si="28"/>
        <v/>
      </c>
      <c r="AE50" s="96" t="str">
        <f t="shared" si="29"/>
        <v>-</v>
      </c>
    </row>
    <row r="51" spans="1:31" ht="12.95" customHeight="1" x14ac:dyDescent="0.2">
      <c r="A51" s="68" t="s">
        <v>136</v>
      </c>
      <c r="B51" s="153" t="s">
        <v>137</v>
      </c>
      <c r="C51" s="154" t="s">
        <v>138</v>
      </c>
      <c r="D51" s="125" t="str">
        <f>IF('[1]U-MP1'!E48="","",(--SUBSTITUTE(('[1]U-MP1'!E48),"&lt;","")))</f>
        <v/>
      </c>
      <c r="E51" s="126" t="str">
        <f>IF('[1]U-MP2'!E48="","",(--SUBSTITUTE(('[1]U-MP2'!E48),"&lt;","")))</f>
        <v/>
      </c>
      <c r="F51" s="126" t="str">
        <f>IF('[1]U-MP3'!E48="","",(--SUBSTITUTE(('[1]U-MP3'!E48),"&lt;","")))</f>
        <v/>
      </c>
      <c r="G51" s="126" t="str">
        <f>IF('[1]U-MP4'!E48="","",(--SUBSTITUTE(('[1]U-MP4'!E48),"&lt;","")))</f>
        <v/>
      </c>
      <c r="H51" s="126" t="str">
        <f>IF('[1]U-MP5'!E48="","",(--SUBSTITUTE(('[1]U-MP5'!E48),"&lt;","")))</f>
        <v/>
      </c>
      <c r="I51" s="126" t="str">
        <f>IF('[1]U-MP6'!E48="","",(--SUBSTITUTE(('[1]U-MP6'!E48),"&lt;","")))</f>
        <v/>
      </c>
      <c r="J51" s="126" t="str">
        <f>IF('[1]U-MP7'!E48="","",(--SUBSTITUTE(('[1]U-MP7'!E48),"&lt;","")))</f>
        <v/>
      </c>
      <c r="K51" s="126" t="str">
        <f>IF('[1]U-MP8'!E48="","",(--SUBSTITUTE(('[1]U-MP8'!E48),"&lt;","")))</f>
        <v/>
      </c>
      <c r="L51" s="126" t="str">
        <f>IF('[1]U-MP9'!E48="","",(--SUBSTITUTE(('[1]U-MP9'!E48),"&lt;","")))</f>
        <v/>
      </c>
      <c r="M51" s="126" t="str">
        <f>IF('[1]U-MP10'!E48="","",(--SUBSTITUTE(('[1]U-MP10'!E48),"&lt;","")))</f>
        <v/>
      </c>
      <c r="N51" s="126" t="str">
        <f>IF('[1]U-MP11'!E48="","",(--SUBSTITUTE(('[1]U-MP11'!E48),"&lt;","")))</f>
        <v/>
      </c>
      <c r="O51" s="126" t="str">
        <f>IF('[1]U-MP12'!E48="","",(--SUBSTITUTE(('[1]U-MP12'!E48),"&lt;","")))</f>
        <v/>
      </c>
      <c r="P51" s="126" t="str">
        <f>IF('[1]U-MP13'!E48="","",(--SUBSTITUTE(('[1]U-MP13'!E48),"&lt;","")))</f>
        <v/>
      </c>
      <c r="Q51" s="126" t="str">
        <f>IF('[1]U-MP14'!E48="","",(--SUBSTITUTE(('[1]U-MP14'!E48),"&lt;","")))</f>
        <v/>
      </c>
      <c r="R51" s="127" t="str">
        <f>IF('[1]U-MP15'!E48="","",(--SUBSTITUTE(('[1]U-MP15'!E48),"&lt;","")))</f>
        <v/>
      </c>
      <c r="S51" s="80" t="str">
        <f t="shared" si="19"/>
        <v>-</v>
      </c>
      <c r="T51" s="103" t="str">
        <f t="shared" si="20"/>
        <v/>
      </c>
      <c r="U51" s="82" t="str">
        <f t="shared" si="21"/>
        <v/>
      </c>
      <c r="V51" s="83" t="str">
        <f t="shared" si="22"/>
        <v/>
      </c>
      <c r="W51" s="84" t="str">
        <f t="shared" si="23"/>
        <v/>
      </c>
      <c r="X51" s="84" t="str">
        <f t="shared" si="24"/>
        <v>-</v>
      </c>
      <c r="Y51" s="85">
        <f>IF(OR($C$3="",$C$3="Z0* IIIA",$C$3="Z0*",$C$3="Z1.1",$C$3="Z1.2",$C$3="Z2",$C$3="DK-0,5",$C$3="Reku Spalte 9"),"",IF($C$3="DK I",1000,IF($C$3="DK II",2000,IF($C$3="DK III",2000,200))))</f>
        <v>1000</v>
      </c>
      <c r="Z51" s="87" t="str">
        <f t="shared" si="25"/>
        <v>-</v>
      </c>
      <c r="AA51" s="87" t="str">
        <f t="shared" si="26"/>
        <v>-</v>
      </c>
      <c r="AB51" s="88" t="str">
        <f>IF(OR(COUNTBLANK(D51:R51)&gt;=14,AA51="JA",AA51="kein ZW",X51="NEIN",Y51="manuell"),"",IF(AND(AA51="NEIN",W51="X"),"n.z.",IF(COUNTIF(D51:R51,"&gt;"&amp;(Y51+0.4999))&gt;(COUNT(D51:R51)*0.2),"NEIN",IF(ROUND(AVERAGE(D51:R51),0)&lt;=Y51,"JA","NEIN"))))</f>
        <v/>
      </c>
      <c r="AC51" s="90" t="str">
        <f t="shared" si="27"/>
        <v>-</v>
      </c>
      <c r="AD51" s="90" t="str">
        <f t="shared" si="28"/>
        <v/>
      </c>
      <c r="AE51" s="96" t="str">
        <f t="shared" si="29"/>
        <v>-</v>
      </c>
    </row>
    <row r="52" spans="1:31" x14ac:dyDescent="0.2">
      <c r="A52" s="68" t="s">
        <v>139</v>
      </c>
      <c r="B52" s="153" t="s">
        <v>140</v>
      </c>
      <c r="C52" s="154" t="s">
        <v>141</v>
      </c>
      <c r="D52" s="125" t="str">
        <f>IF('[1]U-MP1'!E49="","",(--SUBSTITUTE(('[1]U-MP1'!E49),"&lt;","")))</f>
        <v/>
      </c>
      <c r="E52" s="126" t="str">
        <f>IF('[1]U-MP2'!E49="","",(--SUBSTITUTE(('[1]U-MP2'!E49),"&lt;","")))</f>
        <v/>
      </c>
      <c r="F52" s="126" t="str">
        <f>IF('[1]U-MP3'!E49="","",(--SUBSTITUTE(('[1]U-MP3'!E49),"&lt;","")))</f>
        <v/>
      </c>
      <c r="G52" s="126" t="str">
        <f>IF('[1]U-MP4'!E49="","",(--SUBSTITUTE(('[1]U-MP4'!E49),"&lt;","")))</f>
        <v/>
      </c>
      <c r="H52" s="126" t="str">
        <f>IF('[1]U-MP5'!E49="","",(--SUBSTITUTE(('[1]U-MP5'!E49),"&lt;","")))</f>
        <v/>
      </c>
      <c r="I52" s="126" t="str">
        <f>IF('[1]U-MP6'!E49="","",(--SUBSTITUTE(('[1]U-MP6'!E49),"&lt;","")))</f>
        <v/>
      </c>
      <c r="J52" s="126" t="str">
        <f>IF('[1]U-MP7'!E49="","",(--SUBSTITUTE(('[1]U-MP7'!E49),"&lt;","")))</f>
        <v/>
      </c>
      <c r="K52" s="126" t="str">
        <f>IF('[1]U-MP8'!E49="","",(--SUBSTITUTE(('[1]U-MP8'!E49),"&lt;","")))</f>
        <v/>
      </c>
      <c r="L52" s="126" t="str">
        <f>IF('[1]U-MP9'!E49="","",(--SUBSTITUTE(('[1]U-MP9'!E49),"&lt;","")))</f>
        <v/>
      </c>
      <c r="M52" s="126" t="str">
        <f>IF('[1]U-MP10'!E49="","",(--SUBSTITUTE(('[1]U-MP10'!E49),"&lt;","")))</f>
        <v/>
      </c>
      <c r="N52" s="126" t="str">
        <f>IF('[1]U-MP11'!E49="","",(--SUBSTITUTE(('[1]U-MP11'!E49),"&lt;","")))</f>
        <v/>
      </c>
      <c r="O52" s="126" t="str">
        <f>IF('[1]U-MP12'!E49="","",(--SUBSTITUTE(('[1]U-MP12'!E49),"&lt;","")))</f>
        <v/>
      </c>
      <c r="P52" s="126" t="str">
        <f>IF('[1]U-MP13'!E49="","",(--SUBSTITUTE(('[1]U-MP13'!E49),"&lt;","")))</f>
        <v/>
      </c>
      <c r="Q52" s="126" t="str">
        <f>IF('[1]U-MP14'!E49="","",(--SUBSTITUTE(('[1]U-MP14'!E49),"&lt;","")))</f>
        <v/>
      </c>
      <c r="R52" s="127" t="str">
        <f>IF('[1]U-MP15'!E49="","",(--SUBSTITUTE(('[1]U-MP15'!E49),"&lt;","")))</f>
        <v/>
      </c>
      <c r="S52" s="80" t="str">
        <f t="shared" si="19"/>
        <v>-</v>
      </c>
      <c r="T52" s="81" t="str">
        <f t="shared" si="20"/>
        <v/>
      </c>
      <c r="U52" s="82" t="str">
        <f t="shared" si="21"/>
        <v/>
      </c>
      <c r="V52" s="83" t="str">
        <f t="shared" si="22"/>
        <v/>
      </c>
      <c r="W52" s="84" t="str">
        <f t="shared" si="23"/>
        <v/>
      </c>
      <c r="X52" s="84" t="str">
        <f t="shared" si="24"/>
        <v>-</v>
      </c>
      <c r="Y52" s="85" t="str">
        <f>IF(OR($C$3="",$C$3="Z0* IIIA",$C$3="Z0*",$C$3="Z1.1",$C$3="Z1.2",$C$3="Z2",$C$3="Reku Spalte 9"),"",IF($C$3="DK-0,5","manuell",IF($C$3="DK I","manuell",IF($C$3="DK II",20,IF($C$3="DK III",50,"manuell")))))</f>
        <v>manuell</v>
      </c>
      <c r="Z52" s="86" t="str">
        <f t="shared" si="25"/>
        <v>-</v>
      </c>
      <c r="AA52" s="87" t="str">
        <f t="shared" si="26"/>
        <v>-</v>
      </c>
      <c r="AB52" s="88" t="str">
        <f>IF(OR(COUNTBLANK(D52:R52)&gt;=14,AA52="JA",AA52="kein ZW",X52="NEIN",Y52="manuell"),"",IF(AND(AA52="NEIN",W52="X"),"n.z.",IF(COUNTIF(D52:R52,"&gt;"&amp;(Y52+0.4999))&gt;(COUNT(D52:R52)*0.2),"NEIN",IF(ROUND(AVERAGE(D52:R52),0)&lt;=Y52,"JA","NEIN"))))</f>
        <v/>
      </c>
      <c r="AC52" s="89" t="str">
        <f t="shared" si="27"/>
        <v>-</v>
      </c>
      <c r="AD52" s="90" t="str">
        <f t="shared" si="28"/>
        <v/>
      </c>
      <c r="AE52" s="91" t="str">
        <f t="shared" si="29"/>
        <v>-</v>
      </c>
    </row>
    <row r="53" spans="1:31" ht="12.95" customHeight="1" x14ac:dyDescent="0.2">
      <c r="A53" s="68" t="s">
        <v>142</v>
      </c>
      <c r="B53" s="153" t="s">
        <v>143</v>
      </c>
      <c r="C53" s="98" t="s">
        <v>144</v>
      </c>
      <c r="D53" s="125" t="str">
        <f>IF('[1]U-MP1'!E50="","",(--SUBSTITUTE(('[1]U-MP1'!E50),"&lt;","")))</f>
        <v/>
      </c>
      <c r="E53" s="126" t="str">
        <f>IF('[1]U-MP2'!E50="","",(--SUBSTITUTE(('[1]U-MP2'!E50),"&lt;","")))</f>
        <v/>
      </c>
      <c r="F53" s="126" t="str">
        <f>IF('[1]U-MP3'!E50="","",(--SUBSTITUTE(('[1]U-MP3'!E50),"&lt;","")))</f>
        <v/>
      </c>
      <c r="G53" s="126" t="str">
        <f>IF('[1]U-MP4'!E50="","",(--SUBSTITUTE(('[1]U-MP4'!E50),"&lt;","")))</f>
        <v/>
      </c>
      <c r="H53" s="126" t="str">
        <f>IF('[1]U-MP5'!E50="","",(--SUBSTITUTE(('[1]U-MP5'!E50),"&lt;","")))</f>
        <v/>
      </c>
      <c r="I53" s="126" t="str">
        <f>IF('[1]U-MP6'!E50="","",(--SUBSTITUTE(('[1]U-MP6'!E50),"&lt;","")))</f>
        <v/>
      </c>
      <c r="J53" s="126" t="str">
        <f>IF('[1]U-MP7'!E50="","",(--SUBSTITUTE(('[1]U-MP7'!E50),"&lt;","")))</f>
        <v/>
      </c>
      <c r="K53" s="126" t="str">
        <f>IF('[1]U-MP8'!E50="","",(--SUBSTITUTE(('[1]U-MP8'!E50),"&lt;","")))</f>
        <v/>
      </c>
      <c r="L53" s="126" t="str">
        <f>IF('[1]U-MP9'!E50="","",(--SUBSTITUTE(('[1]U-MP9'!E50),"&lt;","")))</f>
        <v/>
      </c>
      <c r="M53" s="126" t="str">
        <f>IF('[1]U-MP10'!E50="","",(--SUBSTITUTE(('[1]U-MP10'!E50),"&lt;","")))</f>
        <v/>
      </c>
      <c r="N53" s="126" t="str">
        <f>IF('[1]U-MP11'!E50="","",(--SUBSTITUTE(('[1]U-MP11'!E50),"&lt;","")))</f>
        <v/>
      </c>
      <c r="O53" s="126" t="str">
        <f>IF('[1]U-MP12'!E50="","",(--SUBSTITUTE(('[1]U-MP12'!E50),"&lt;","")))</f>
        <v/>
      </c>
      <c r="P53" s="126" t="str">
        <f>IF('[1]U-MP13'!E50="","",(--SUBSTITUTE(('[1]U-MP13'!E50),"&lt;","")))</f>
        <v/>
      </c>
      <c r="Q53" s="126" t="str">
        <f>IF('[1]U-MP14'!E50="","",(--SUBSTITUTE(('[1]U-MP14'!E50),"&lt;","")))</f>
        <v/>
      </c>
      <c r="R53" s="127" t="str">
        <f>IF('[1]U-MP15'!E50="","",(--SUBSTITUTE(('[1]U-MP15'!E50),"&lt;","")))</f>
        <v/>
      </c>
      <c r="S53" s="80" t="str">
        <f t="shared" si="19"/>
        <v>-</v>
      </c>
      <c r="T53" s="103" t="str">
        <f t="shared" si="20"/>
        <v/>
      </c>
      <c r="U53" s="82" t="str">
        <f t="shared" si="21"/>
        <v/>
      </c>
      <c r="V53" s="83" t="str">
        <f t="shared" si="22"/>
        <v/>
      </c>
      <c r="W53" s="84" t="str">
        <f t="shared" si="23"/>
        <v/>
      </c>
      <c r="X53" s="84" t="str">
        <f t="shared" si="24"/>
        <v>-</v>
      </c>
      <c r="Y53" s="85">
        <f>IF(OR($C$3=""),"",IF($C$3="Z0* IIIA",1,IF($C$3="Z0*",1,IF($C$3="Z1.1",1,IF($C$3="Z1.2",1,IF($C$3="Z2",1,IF($C$3="DK-0,5","manuell",IF($C$3="DK I",25,IF($C$3="DK II",50,IF($C$3="DK III",50,2))))))))))</f>
        <v>25</v>
      </c>
      <c r="Z53" s="87" t="str">
        <f t="shared" si="25"/>
        <v>-</v>
      </c>
      <c r="AA53" s="87" t="str">
        <f t="shared" si="26"/>
        <v>-</v>
      </c>
      <c r="AB53" s="88" t="str">
        <f>IF(OR(COUNTBLANK(D53:R53)&gt;=14,AA53="JA",AA53="kein ZW",X53="NEIN",Y53="manuell"),"",IF(AND(AA53="NEIN",W53="X"),"n.z.",IF(COUNTIF(D53:R53,"&gt;"&amp;(Y53+0.4999))&gt;(COUNT(D53:R53)*0.2),"NEIN",IF(ROUND(AVERAGE(D53:R53),0)&lt;=Y53,"JA","NEIN"))))</f>
        <v/>
      </c>
      <c r="AC53" s="90" t="str">
        <f t="shared" si="27"/>
        <v>-</v>
      </c>
      <c r="AD53" s="90" t="str">
        <f t="shared" si="28"/>
        <v/>
      </c>
      <c r="AE53" s="96" t="str">
        <f t="shared" si="29"/>
        <v>-</v>
      </c>
    </row>
    <row r="54" spans="1:31" ht="12.75" customHeight="1" x14ac:dyDescent="0.2">
      <c r="A54" s="68" t="s">
        <v>145</v>
      </c>
      <c r="B54" s="155" t="s">
        <v>146</v>
      </c>
      <c r="C54" s="98" t="s">
        <v>144</v>
      </c>
      <c r="D54" s="121" t="str">
        <f>IF('[1]U-MP1'!E51="","",(--SUBSTITUTE(('[1]U-MP1'!E51),"&lt;","")))</f>
        <v/>
      </c>
      <c r="E54" s="122" t="str">
        <f>IF('[1]U-MP2'!E51="","",(--SUBSTITUTE(('[1]U-MP2'!E51),"&lt;","")))</f>
        <v/>
      </c>
      <c r="F54" s="122" t="str">
        <f>IF('[1]U-MP3'!E51="","",(--SUBSTITUTE(('[1]U-MP3'!E51),"&lt;","")))</f>
        <v/>
      </c>
      <c r="G54" s="122" t="str">
        <f>IF('[1]U-MP4'!E51="","",(--SUBSTITUTE(('[1]U-MP4'!E51),"&lt;","")))</f>
        <v/>
      </c>
      <c r="H54" s="122" t="str">
        <f>IF('[1]U-MP5'!E51="","",(--SUBSTITUTE(('[1]U-MP5'!E51),"&lt;","")))</f>
        <v/>
      </c>
      <c r="I54" s="122" t="str">
        <f>IF('[1]U-MP6'!E51="","",(--SUBSTITUTE(('[1]U-MP6'!E51),"&lt;","")))</f>
        <v/>
      </c>
      <c r="J54" s="122" t="str">
        <f>IF('[1]U-MP7'!E51="","",(--SUBSTITUTE(('[1]U-MP7'!E51),"&lt;","")))</f>
        <v/>
      </c>
      <c r="K54" s="122" t="str">
        <f>IF('[1]U-MP8'!E51="","",(--SUBSTITUTE(('[1]U-MP8'!E51),"&lt;","")))</f>
        <v/>
      </c>
      <c r="L54" s="122" t="str">
        <f>IF('[1]U-MP9'!E51="","",(--SUBSTITUTE(('[1]U-MP9'!E51),"&lt;","")))</f>
        <v/>
      </c>
      <c r="M54" s="122" t="str">
        <f>IF('[1]U-MP10'!E51="","",(--SUBSTITUTE(('[1]U-MP10'!E51),"&lt;","")))</f>
        <v/>
      </c>
      <c r="N54" s="122" t="str">
        <f>IF('[1]U-MP11'!E51="","",(--SUBSTITUTE(('[1]U-MP11'!E51),"&lt;","")))</f>
        <v/>
      </c>
      <c r="O54" s="122" t="str">
        <f>IF('[1]U-MP12'!E51="","",(--SUBSTITUTE(('[1]U-MP12'!E51),"&lt;","")))</f>
        <v/>
      </c>
      <c r="P54" s="122" t="str">
        <f>IF('[1]U-MP13'!E51="","",(--SUBSTITUTE(('[1]U-MP13'!E51),"&lt;","")))</f>
        <v/>
      </c>
      <c r="Q54" s="122" t="str">
        <f>IF('[1]U-MP14'!E51="","",(--SUBSTITUTE(('[1]U-MP14'!E51),"&lt;","")))</f>
        <v/>
      </c>
      <c r="R54" s="123" t="str">
        <f>IF('[1]U-MP15'!E51="","",(--SUBSTITUTE(('[1]U-MP15'!E51),"&lt;","")))</f>
        <v/>
      </c>
      <c r="S54" s="80" t="str">
        <f t="shared" si="19"/>
        <v>-</v>
      </c>
      <c r="T54" s="81" t="str">
        <f t="shared" si="20"/>
        <v/>
      </c>
      <c r="U54" s="82" t="str">
        <f t="shared" si="21"/>
        <v/>
      </c>
      <c r="V54" s="83" t="str">
        <f t="shared" si="22"/>
        <v/>
      </c>
      <c r="W54" s="84" t="str">
        <f t="shared" si="23"/>
        <v/>
      </c>
      <c r="X54" s="84" t="str">
        <f t="shared" si="24"/>
        <v>-</v>
      </c>
      <c r="Y54" s="85">
        <f>IF(OR($C$3="",$C$3="Z0* IIIA",$C$3="Z0*",$C$3="Z1.1",$C$3="Z1.2",$C$3="Z2",$C$3="DK-0,5",$C$3="Reku Spalte 9"),"",IF($C$3="DK I",1,IF($C$3="DK II",5,IF($C$3="DK III",5,0.2))))</f>
        <v>1</v>
      </c>
      <c r="Z54" s="86" t="str">
        <f>IF(OR(D54="",W54="n.z.",X54="NEIN",Y54="manuell"),"-",IF(Y54="",MAX(D54:R54),IF(ROUND(MAX(D54:R54),1)&gt;Y54,"Überschreitung",IF(V54="---","Messwerte = 0",IF(MAX(D54:R54)&lt;=(0.5*Y54),0.5*Y54,IF(MAX(D54:R54)&lt;=Y54,ROUND(MAX(D54:R54),1),Y54))))))</f>
        <v>-</v>
      </c>
      <c r="AA54" s="87" t="str">
        <f t="shared" si="26"/>
        <v>-</v>
      </c>
      <c r="AB54" s="88" t="str">
        <f>IF(OR(COUNTBLANK(D54:R54)&gt;=14,AA54="JA",AA54="kein ZW",X54="NEIN",Y54="manuell"),"",IF(AND(AA54="NEIN",W54="X"),"n.z.",IF(COUNTIF(D54:R54,"&gt;"&amp;(Y54+0.04999))&gt;(COUNT(D54:R54)*0.2),"NEIN",IF(ROUND(AVERAGE(D54:R54),0)&lt;=Y54,"JA","NEIN"))))</f>
        <v/>
      </c>
      <c r="AC54" s="89" t="str">
        <f>IF(AND(AB54="JA",S54&lt;10),ROUND(LARGE(D54:R54,2),1),IF(AND(AB54="JA",S54&gt;9,S54&lt;15),ROUND(LARGE(D54:R54,3),1),IF(AND(AB54="JA",S54=15),ROUND(LARGE(D54:R54,4),1),"-")))</f>
        <v>-</v>
      </c>
      <c r="AD54" s="90" t="str">
        <f t="shared" si="28"/>
        <v/>
      </c>
      <c r="AE54" s="91" t="str">
        <f t="shared" si="29"/>
        <v>-</v>
      </c>
    </row>
    <row r="55" spans="1:31" ht="24" customHeight="1" x14ac:dyDescent="0.2">
      <c r="A55" s="68" t="s">
        <v>147</v>
      </c>
      <c r="B55" s="155" t="s">
        <v>148</v>
      </c>
      <c r="C55" s="98" t="s">
        <v>144</v>
      </c>
      <c r="D55" s="125" t="str">
        <f>IF('[1]U-MP1'!E52="","",(--SUBSTITUTE(('[1]U-MP1'!E52),"&lt;","")))</f>
        <v/>
      </c>
      <c r="E55" s="126" t="str">
        <f>IF('[1]U-MP2'!E52="","",(--SUBSTITUTE(('[1]U-MP2'!E52),"&lt;","")))</f>
        <v/>
      </c>
      <c r="F55" s="126" t="str">
        <f>IF('[1]U-MP3'!E52="","",(--SUBSTITUTE(('[1]U-MP3'!E52),"&lt;","")))</f>
        <v/>
      </c>
      <c r="G55" s="126" t="str">
        <f>IF('[1]U-MP4'!E52="","",(--SUBSTITUTE(('[1]U-MP4'!E52),"&lt;","")))</f>
        <v/>
      </c>
      <c r="H55" s="126" t="str">
        <f>IF('[1]U-MP5'!E52="","",(--SUBSTITUTE(('[1]U-MP5'!E52),"&lt;","")))</f>
        <v/>
      </c>
      <c r="I55" s="126" t="str">
        <f>IF('[1]U-MP6'!E52="","",(--SUBSTITUTE(('[1]U-MP6'!E52),"&lt;","")))</f>
        <v/>
      </c>
      <c r="J55" s="126" t="str">
        <f>IF('[1]U-MP7'!E52="","",(--SUBSTITUTE(('[1]U-MP7'!E52),"&lt;","")))</f>
        <v/>
      </c>
      <c r="K55" s="126" t="str">
        <f>IF('[1]U-MP8'!E52="","",(--SUBSTITUTE(('[1]U-MP8'!E52),"&lt;","")))</f>
        <v/>
      </c>
      <c r="L55" s="126" t="str">
        <f>IF('[1]U-MP9'!E52="","",(--SUBSTITUTE(('[1]U-MP9'!E52),"&lt;","")))</f>
        <v/>
      </c>
      <c r="M55" s="126" t="str">
        <f>IF('[1]U-MP10'!E52="","",(--SUBSTITUTE(('[1]U-MP10'!E52),"&lt;","")))</f>
        <v/>
      </c>
      <c r="N55" s="126" t="str">
        <f>IF('[1]U-MP11'!E52="","",(--SUBSTITUTE(('[1]U-MP11'!E52),"&lt;","")))</f>
        <v/>
      </c>
      <c r="O55" s="126" t="str">
        <f>IF('[1]U-MP12'!E52="","",(--SUBSTITUTE(('[1]U-MP12'!E52),"&lt;","")))</f>
        <v/>
      </c>
      <c r="P55" s="126" t="str">
        <f>IF('[1]U-MP13'!E52="","",(--SUBSTITUTE(('[1]U-MP13'!E52),"&lt;","")))</f>
        <v/>
      </c>
      <c r="Q55" s="126" t="str">
        <f>IF('[1]U-MP14'!E52="","",(--SUBSTITUTE(('[1]U-MP14'!E52),"&lt;","")))</f>
        <v/>
      </c>
      <c r="R55" s="127" t="str">
        <f>IF('[1]U-MP15'!E52="","",(--SUBSTITUTE(('[1]U-MP15'!E52),"&lt;","")))</f>
        <v/>
      </c>
      <c r="S55" s="156" t="str">
        <f t="shared" si="19"/>
        <v>-</v>
      </c>
      <c r="T55" s="103" t="str">
        <f t="shared" si="20"/>
        <v/>
      </c>
      <c r="U55" s="82" t="str">
        <f t="shared" si="21"/>
        <v/>
      </c>
      <c r="V55" s="83" t="str">
        <f t="shared" si="22"/>
        <v/>
      </c>
      <c r="W55" s="84" t="str">
        <f t="shared" si="23"/>
        <v/>
      </c>
      <c r="X55" s="84" t="str">
        <f t="shared" si="24"/>
        <v>-</v>
      </c>
      <c r="Y55" s="85">
        <f>IF(OR($C$3="",$C$3="Z0* IIIA",$C$3="Z0*",$C$3="Z1.1",$C$3="Z1.2",$C$3="Z2",$C$3="DK-0,5",$C$3="Reku Spalte 9"),"",IF($C$3="DK I",5,IF($C$3="DK II",20,IF($C$3="DK III",20,1))))</f>
        <v>5</v>
      </c>
      <c r="Z55" s="87" t="str">
        <f>IF(OR(D55="",W55="n.z.",X55="NEIN",Y55="manuell"),"-",IF(Y55="",MAX(D55:R55),IF(ROUND(MAX(D55:R55),0)&gt;Y55,"Überschreitung",IF(V55="---","Messwerte = 0",IF(MAX(D55:R55)&lt;=(0.5*Y55),0.5*Y55,IF(MAX(D55:R55)&lt;=Y55,ROUND(MAX(D55:R55),0),Y55))))))</f>
        <v>-</v>
      </c>
      <c r="AA55" s="87" t="str">
        <f t="shared" si="26"/>
        <v>-</v>
      </c>
      <c r="AB55" s="157" t="str">
        <f t="shared" ref="AB55:AB61" si="30">IF(OR(COUNTBLANK(D55:R55)&gt;=14,AA55="JA",AA55="kein ZW",X55="NEIN",Y55="manuell"),"",IF(AND(AA55="NEIN",W55="X"),"n.z.",IF(COUNTIF(D55:R55,"&gt;"&amp;(Y55+0.4999))&gt;(COUNT(D55:R55)*0.2),"NEIN",IF(ROUND(AVERAGE(D55:R55),0)&lt;=Y55,"JA","NEIN"))))</f>
        <v/>
      </c>
      <c r="AC55" s="90" t="str">
        <f>IF(AND(AB55="JA",S55&lt;10),ROUND(LARGE(D55:R55,2),0),IF(AND(AB55="JA",S55&gt;9,S55&lt;15),ROUND(LARGE(D55:R55,3),0),IF(AND(AB55="JA",S55=15),ROUND(LARGE(D55:R55,4),0),"-")))</f>
        <v>-</v>
      </c>
      <c r="AD55" s="90" t="str">
        <f t="shared" si="28"/>
        <v/>
      </c>
      <c r="AE55" s="96" t="str">
        <f t="shared" si="29"/>
        <v>-</v>
      </c>
    </row>
    <row r="56" spans="1:31" x14ac:dyDescent="0.2">
      <c r="A56" s="68" t="s">
        <v>149</v>
      </c>
      <c r="B56" s="158" t="s">
        <v>95</v>
      </c>
      <c r="C56" s="70" t="s">
        <v>55</v>
      </c>
      <c r="D56" s="159" t="str">
        <f>IF('[1]U-MP1'!E53="","",(--SUBSTITUTE(('[1]U-MP1'!E53),"&lt;","")))</f>
        <v/>
      </c>
      <c r="E56" s="160" t="str">
        <f>IF('[1]U-MP2'!E53="","",(--SUBSTITUTE(('[1]U-MP2'!E53),"&lt;","")))</f>
        <v/>
      </c>
      <c r="F56" s="160" t="str">
        <f>IF('[1]U-MP3'!E53="","",(--SUBSTITUTE(('[1]U-MP3'!E53),"&lt;","")))</f>
        <v/>
      </c>
      <c r="G56" s="160" t="str">
        <f>IF('[1]U-MP4'!E53="","",(--SUBSTITUTE(('[1]U-MP4'!E53),"&lt;","")))</f>
        <v/>
      </c>
      <c r="H56" s="160" t="str">
        <f>IF('[1]U-MP5'!E53="","",(--SUBSTITUTE(('[1]U-MP5'!E53),"&lt;","")))</f>
        <v/>
      </c>
      <c r="I56" s="160" t="str">
        <f>IF('[1]U-MP6'!E53="","",(--SUBSTITUTE(('[1]U-MP6'!E53),"&lt;","")))</f>
        <v/>
      </c>
      <c r="J56" s="160" t="str">
        <f>IF('[1]U-MP7'!E53="","",(--SUBSTITUTE(('[1]U-MP7'!E53),"&lt;","")))</f>
        <v/>
      </c>
      <c r="K56" s="160" t="str">
        <f>IF('[1]U-MP8'!E53="","",(--SUBSTITUTE(('[1]U-MP8'!E53),"&lt;","")))</f>
        <v/>
      </c>
      <c r="L56" s="160" t="str">
        <f>IF('[1]U-MP9'!E53="","",(--SUBSTITUTE(('[1]U-MP9'!E53),"&lt;","")))</f>
        <v/>
      </c>
      <c r="M56" s="160" t="str">
        <f>IF('[1]U-MP10'!E53="","",(--SUBSTITUTE(('[1]U-MP10'!E53),"&lt;","")))</f>
        <v/>
      </c>
      <c r="N56" s="160" t="str">
        <f>IF('[1]U-MP11'!E53="","",(--SUBSTITUTE(('[1]U-MP11'!E53),"&lt;","")))</f>
        <v/>
      </c>
      <c r="O56" s="160" t="str">
        <f>IF('[1]U-MP12'!E53="","",(--SUBSTITUTE(('[1]U-MP12'!E53),"&lt;","")))</f>
        <v/>
      </c>
      <c r="P56" s="160" t="str">
        <f>IF('[1]U-MP13'!E53="","",(--SUBSTITUTE(('[1]U-MP13'!E53),"&lt;","")))</f>
        <v/>
      </c>
      <c r="Q56" s="160" t="str">
        <f>IF('[1]U-MP14'!E53="","",(--SUBSTITUTE(('[1]U-MP14'!E53),"&lt;","")))</f>
        <v/>
      </c>
      <c r="R56" s="161" t="str">
        <f>IF('[1]U-MP15'!E53="","",(--SUBSTITUTE(('[1]U-MP15'!E53),"&lt;","")))</f>
        <v/>
      </c>
      <c r="S56" s="156" t="str">
        <f t="shared" si="19"/>
        <v>-</v>
      </c>
      <c r="T56" s="103" t="str">
        <f t="shared" si="20"/>
        <v/>
      </c>
      <c r="U56" s="82" t="str">
        <f t="shared" si="21"/>
        <v/>
      </c>
      <c r="V56" s="83" t="str">
        <f t="shared" si="22"/>
        <v/>
      </c>
      <c r="W56" s="84" t="str">
        <f t="shared" si="23"/>
        <v/>
      </c>
      <c r="X56" s="84" t="str">
        <f t="shared" si="24"/>
        <v>-</v>
      </c>
      <c r="Y56" s="85" t="str">
        <f>IF(OR($C$3=""),"",IF($C$3="Z0* IIIA",20,IF($C$3="Z0*",20,IF($C$3="Z1.1",45,IF($C$3="Z1.2",45,IF($C$3="Z2",150,IF($C$3="DK-0,5","manuell",IF($C$3="DK I","",IF($C$3="DK II","",IF($C$3="DK III","",IF($C$3="Reku Spalte 9","","")))))))))))</f>
        <v/>
      </c>
      <c r="Z56" s="87" t="str">
        <f>IF(OR(D56="",W56="n.z.",X56="NEIN",Y56="manuell"),"-",IF(Y56="",MAX(D56:R56),IF(ROUND(MAX(D56:R56),0)&gt;Y56,"Überschreitung",IF(V56="---","Messwerte = 0",IF(MAX(D56:R56)&lt;=(0.5*Y56),0.5*Y56,IF(MAX(D56:R56)&lt;=Y56,ROUND(MAX(D56:R56),0),Y56))))))</f>
        <v>-</v>
      </c>
      <c r="AA56" s="87" t="str">
        <f t="shared" si="26"/>
        <v>-</v>
      </c>
      <c r="AB56" s="157" t="str">
        <f t="shared" si="30"/>
        <v/>
      </c>
      <c r="AC56" s="90" t="str">
        <f>IF(AND(AB56="JA",S56&lt;10),ROUND(LARGE(D56:R56,2),0),IF(AND(AB56="JA",S56&gt;9,S56&lt;15),ROUND(LARGE(D56:R56,3),0),IF(AND(AB56="JA",S56=15),ROUND(LARGE(D56:R56,4),0),"-")))</f>
        <v>-</v>
      </c>
      <c r="AD56" s="90" t="str">
        <f t="shared" si="28"/>
        <v/>
      </c>
      <c r="AE56" s="96" t="str">
        <f t="shared" si="29"/>
        <v>-</v>
      </c>
    </row>
    <row r="57" spans="1:31" x14ac:dyDescent="0.2">
      <c r="A57" s="68" t="s">
        <v>150</v>
      </c>
      <c r="B57" s="158" t="s">
        <v>151</v>
      </c>
      <c r="C57" s="162" t="s">
        <v>55</v>
      </c>
      <c r="D57" s="159" t="str">
        <f>IF('[1]U-MP1'!E54="","",(--SUBSTITUTE(('[1]U-MP1'!E54),"&lt;","")))</f>
        <v/>
      </c>
      <c r="E57" s="160" t="str">
        <f>IF('[1]U-MP2'!E54="","",(--SUBSTITUTE(('[1]U-MP2'!E54),"&lt;","")))</f>
        <v/>
      </c>
      <c r="F57" s="160" t="str">
        <f>IF('[1]U-MP3'!E54="","",(--SUBSTITUTE(('[1]U-MP3'!E54),"&lt;","")))</f>
        <v/>
      </c>
      <c r="G57" s="160" t="str">
        <f>IF('[1]U-MP4'!E54="","",(--SUBSTITUTE(('[1]U-MP4'!E54),"&lt;","")))</f>
        <v/>
      </c>
      <c r="H57" s="160" t="str">
        <f>IF('[1]U-MP5'!E54="","",(--SUBSTITUTE(('[1]U-MP5'!E54),"&lt;","")))</f>
        <v/>
      </c>
      <c r="I57" s="160" t="str">
        <f>IF('[1]U-MP6'!E54="","",(--SUBSTITUTE(('[1]U-MP6'!E54),"&lt;","")))</f>
        <v/>
      </c>
      <c r="J57" s="160" t="str">
        <f>IF('[1]U-MP7'!E54="","",(--SUBSTITUTE(('[1]U-MP7'!E54),"&lt;","")))</f>
        <v/>
      </c>
      <c r="K57" s="160" t="str">
        <f>IF('[1]U-MP8'!E54="","",(--SUBSTITUTE(('[1]U-MP8'!E54),"&lt;","")))</f>
        <v/>
      </c>
      <c r="L57" s="160" t="str">
        <f>IF('[1]U-MP9'!E54="","",(--SUBSTITUTE(('[1]U-MP9'!E54),"&lt;","")))</f>
        <v/>
      </c>
      <c r="M57" s="160" t="str">
        <f>IF('[1]U-MP10'!E54="","",(--SUBSTITUTE(('[1]U-MP10'!E54),"&lt;","")))</f>
        <v/>
      </c>
      <c r="N57" s="160" t="str">
        <f>IF('[1]U-MP11'!E54="","",(--SUBSTITUTE(('[1]U-MP11'!E54),"&lt;","")))</f>
        <v/>
      </c>
      <c r="O57" s="160" t="str">
        <f>IF('[1]U-MP12'!E54="","",(--SUBSTITUTE(('[1]U-MP12'!E54),"&lt;","")))</f>
        <v/>
      </c>
      <c r="P57" s="160" t="str">
        <f>IF('[1]U-MP13'!E54="","",(--SUBSTITUTE(('[1]U-MP13'!E54),"&lt;","")))</f>
        <v/>
      </c>
      <c r="Q57" s="160" t="str">
        <f>IF('[1]U-MP14'!E54="","",(--SUBSTITUTE(('[1]U-MP14'!E54),"&lt;","")))</f>
        <v/>
      </c>
      <c r="R57" s="161" t="str">
        <f>IF('[1]U-MP15'!E54="","",(--SUBSTITUTE(('[1]U-MP15'!E54),"&lt;","")))</f>
        <v/>
      </c>
      <c r="S57" s="156" t="str">
        <f>IF(COUNTBLANK(D57:R57)&lt;15,COUNT(D57:R57),"-")</f>
        <v>-</v>
      </c>
      <c r="T57" s="103" t="str">
        <f>IF(COUNTBLANK(D57:R57)&gt;14,"",IF(SUM(D57:R57)=0,"---",AVERAGE(D57:R57)))</f>
        <v/>
      </c>
      <c r="U57" s="82" t="str">
        <f>IF(COUNTBLANK(D57:R57)&gt;14,"",IF(COUNT(D57:R57)&lt;2,"---",STDEV(D57:R57)))</f>
        <v/>
      </c>
      <c r="V57" s="83" t="str">
        <f>IF(COUNTBLANK(D57:R57)&gt;14,"",IF(COUNTBLANK(D57:R57)=14,"ein Messwert",IF(ISTEXT(Y57),"kein ZW",IF(SUM(D57:R57)=0,"---",IF(MAX(D57:R57)&lt;(0.5*Y57),"&lt; 50% ZW",IF(MAX(D57:R57)&gt;2*MIN(D57:R57),"inhomogen","homogen"))))))</f>
        <v/>
      </c>
      <c r="W57" s="84" t="str">
        <f t="shared" si="23"/>
        <v/>
      </c>
      <c r="X57" s="84" t="str">
        <f t="shared" si="24"/>
        <v>-</v>
      </c>
      <c r="Y57" s="105" t="str">
        <f>IF(OR($C$3=""),"",IF($C$3="Z0* IIIA",0.7,IF($C$3="Z0*",0.7,IF($C$3="Z1.1",2.1,IF($C$3="Z1.2",2.1,IF($C$3="Z2",7,IF($C$3="DK-0,5","manuell",IF($C$3="DK I","",IF($C$3="DK II","",IF($C$3="DK III","",IF($C$3="Reku Spalte 9","","")))))))))))</f>
        <v/>
      </c>
      <c r="Z57" s="86" t="str">
        <f>IF(OR(D57="",W57="n.z.",X57="NEIN",Y57="manuell"),"-",IF(Y57="",MAX(D57:R57),IF(ROUND(MAX(D57:R57),1)&gt;Y57,"Überschreitung",IF(V57="---","Messwerte = 0",IF(MAX(D57:R57)&lt;=(0.5*Y57),0.5*Y57,IF(MAX(D57:R57)&lt;=Y57,ROUND(MAX(D57:R57),1),Y57))))))</f>
        <v>-</v>
      </c>
      <c r="AA57" s="87" t="str">
        <f t="shared" si="26"/>
        <v>-</v>
      </c>
      <c r="AB57" s="157" t="str">
        <f t="shared" si="30"/>
        <v/>
      </c>
      <c r="AC57" s="89" t="str">
        <f>IF(AND(AB57="JA",S57&lt;10),ROUND(LARGE(D57:R57,2),1),IF(AND(AB57="JA",S57&gt;9,S57&lt;15),ROUND(LARGE(D57:R57,3),1),IF(AND(AB57="JA",S57=15),ROUND(LARGE(D57:R57,4),1),"-")))</f>
        <v>-</v>
      </c>
      <c r="AD57" s="90" t="str">
        <f t="shared" si="28"/>
        <v/>
      </c>
      <c r="AE57" s="91" t="str">
        <f>IF(AD57="JA",ROUND((AVERAGE(D57:R57))+1.65*STDEV(D57:R57)/(SQRT(COUNT(D57:R57))),0),"-")</f>
        <v>-</v>
      </c>
    </row>
    <row r="58" spans="1:31" x14ac:dyDescent="0.2">
      <c r="A58" s="68" t="s">
        <v>152</v>
      </c>
      <c r="B58" s="158" t="s">
        <v>153</v>
      </c>
      <c r="C58" s="162" t="s">
        <v>55</v>
      </c>
      <c r="D58" s="159" t="str">
        <f>IF('[1]U-MP1'!E55="","",(--SUBSTITUTE(('[1]U-MP1'!E55),"&lt;","")))</f>
        <v/>
      </c>
      <c r="E58" s="160" t="str">
        <f>IF('[1]U-MP2'!E55="","",(--SUBSTITUTE(('[1]U-MP2'!E55),"&lt;","")))</f>
        <v/>
      </c>
      <c r="F58" s="160" t="str">
        <f>IF('[1]U-MP3'!E55="","",(--SUBSTITUTE(('[1]U-MP3'!E55),"&lt;","")))</f>
        <v/>
      </c>
      <c r="G58" s="160" t="str">
        <f>IF('[1]U-MP4'!E55="","",(--SUBSTITUTE(('[1]U-MP4'!E55),"&lt;","")))</f>
        <v/>
      </c>
      <c r="H58" s="160" t="str">
        <f>IF('[1]U-MP5'!E55="","",(--SUBSTITUTE(('[1]U-MP5'!E55),"&lt;","")))</f>
        <v/>
      </c>
      <c r="I58" s="160" t="str">
        <f>IF('[1]U-MP6'!E55="","",(--SUBSTITUTE(('[1]U-MP6'!E55),"&lt;","")))</f>
        <v/>
      </c>
      <c r="J58" s="160" t="str">
        <f>IF('[1]U-MP7'!E55="","",(--SUBSTITUTE(('[1]U-MP7'!E55),"&lt;","")))</f>
        <v/>
      </c>
      <c r="K58" s="160" t="str">
        <f>IF('[1]U-MP8'!E55="","",(--SUBSTITUTE(('[1]U-MP8'!E55),"&lt;","")))</f>
        <v/>
      </c>
      <c r="L58" s="160" t="str">
        <f>IF('[1]U-MP9'!E55="","",(--SUBSTITUTE(('[1]U-MP9'!E55),"&lt;","")))</f>
        <v/>
      </c>
      <c r="M58" s="160" t="str">
        <f>IF('[1]U-MP10'!E55="","",(--SUBSTITUTE(('[1]U-MP10'!E55),"&lt;","")))</f>
        <v/>
      </c>
      <c r="N58" s="160" t="str">
        <f>IF('[1]U-MP11'!E55="","",(--SUBSTITUTE(('[1]U-MP11'!E55),"&lt;","")))</f>
        <v/>
      </c>
      <c r="O58" s="160" t="str">
        <f>IF('[1]U-MP12'!E55="","",(--SUBSTITUTE(('[1]U-MP12'!E55),"&lt;","")))</f>
        <v/>
      </c>
      <c r="P58" s="160" t="str">
        <f>IF('[1]U-MP13'!E55="","",(--SUBSTITUTE(('[1]U-MP13'!E55),"&lt;","")))</f>
        <v/>
      </c>
      <c r="Q58" s="160" t="str">
        <f>IF('[1]U-MP14'!E55="","",(--SUBSTITUTE(('[1]U-MP14'!E55),"&lt;","")))</f>
        <v/>
      </c>
      <c r="R58" s="161" t="str">
        <f>IF('[1]U-MP15'!E55="","",(--SUBSTITUTE(('[1]U-MP15'!E55),"&lt;","")))</f>
        <v/>
      </c>
      <c r="S58" s="156" t="str">
        <f t="shared" si="19"/>
        <v>-</v>
      </c>
      <c r="T58" s="103" t="str">
        <f t="shared" si="20"/>
        <v/>
      </c>
      <c r="U58" s="82" t="str">
        <f t="shared" si="21"/>
        <v/>
      </c>
      <c r="V58" s="83" t="str">
        <f t="shared" si="22"/>
        <v/>
      </c>
      <c r="W58" s="84" t="str">
        <f t="shared" si="23"/>
        <v/>
      </c>
      <c r="X58" s="84" t="str">
        <f t="shared" si="24"/>
        <v>-</v>
      </c>
      <c r="Y58" s="163" t="str">
        <f>IF(OR($C$3=""),"",IF($C$3="Z0* IIIA","",IF($C$3="Z0*","",IF($C$3="Z1.1",3,IF($C$3="Z1.2",3,IF($C$3="Z2",10,IF($C$3="DK-0,5","manuell",IF($C$3="DK I","",IF($C$3="DK II","",IF($C$3="DK III","",IF($C$3="Reku Spalte 9","","")))))))))))</f>
        <v/>
      </c>
      <c r="Z58" s="87" t="str">
        <f>IF(OR(D58="",W58="n.z.",X58="NEIN",Y58="manuell"),"-",IF(Y58="",MAX(D58:R58),IF(ROUND(MAX(D58:R58),0)&gt;Y58,"Überschreitung",IF(V58="---","Messwerte = 0",IF(MAX(D58:R58)&lt;=(0.5*Y58),0.5*Y58,IF(MAX(D58:R58)&lt;=Y58,ROUND(MAX(D58:R58),0),Y58))))))</f>
        <v>-</v>
      </c>
      <c r="AA58" s="87" t="str">
        <f t="shared" si="26"/>
        <v>-</v>
      </c>
      <c r="AB58" s="157" t="str">
        <f t="shared" si="30"/>
        <v/>
      </c>
      <c r="AC58" s="90" t="str">
        <f>IF(AND(AB58="JA",S58&lt;10),ROUND(LARGE(D58:R58,2),0),IF(AND(AB58="JA",S58&gt;9,S58&lt;15),ROUND(LARGE(D58:R58,3),0),IF(AND(AB58="JA",S58=15),ROUND(LARGE(D58:R58,4),0),"-")))</f>
        <v>-</v>
      </c>
      <c r="AD58" s="90" t="str">
        <f t="shared" si="28"/>
        <v/>
      </c>
      <c r="AE58" s="96" t="str">
        <f t="shared" si="29"/>
        <v>-</v>
      </c>
    </row>
    <row r="59" spans="1:31" x14ac:dyDescent="0.2">
      <c r="A59" s="68" t="s">
        <v>154</v>
      </c>
      <c r="B59" s="158" t="s">
        <v>155</v>
      </c>
      <c r="C59" s="162" t="s">
        <v>55</v>
      </c>
      <c r="D59" s="159" t="str">
        <f>IF('[1]U-MP1'!E56="","",(--SUBSTITUTE(('[1]U-MP1'!E56),"&lt;","")))</f>
        <v/>
      </c>
      <c r="E59" s="160" t="str">
        <f>IF('[1]U-MP2'!E56="","",(--SUBSTITUTE(('[1]U-MP2'!E56),"&lt;","")))</f>
        <v/>
      </c>
      <c r="F59" s="160" t="str">
        <f>IF('[1]U-MP3'!E56="","",(--SUBSTITUTE(('[1]U-MP3'!E56),"&lt;","")))</f>
        <v/>
      </c>
      <c r="G59" s="160" t="str">
        <f>IF('[1]U-MP4'!E56="","",(--SUBSTITUTE(('[1]U-MP4'!E56),"&lt;","")))</f>
        <v/>
      </c>
      <c r="H59" s="160" t="str">
        <f>IF('[1]U-MP5'!E56="","",(--SUBSTITUTE(('[1]U-MP5'!E56),"&lt;","")))</f>
        <v/>
      </c>
      <c r="I59" s="160" t="str">
        <f>IF('[1]U-MP6'!E56="","",(--SUBSTITUTE(('[1]U-MP6'!E56),"&lt;","")))</f>
        <v/>
      </c>
      <c r="J59" s="160" t="str">
        <f>IF('[1]U-MP7'!E56="","",(--SUBSTITUTE(('[1]U-MP7'!E56),"&lt;","")))</f>
        <v/>
      </c>
      <c r="K59" s="160" t="str">
        <f>IF('[1]U-MP8'!E56="","",(--SUBSTITUTE(('[1]U-MP8'!E56),"&lt;","")))</f>
        <v/>
      </c>
      <c r="L59" s="160" t="str">
        <f>IF('[1]U-MP9'!E56="","",(--SUBSTITUTE(('[1]U-MP9'!E56),"&lt;","")))</f>
        <v/>
      </c>
      <c r="M59" s="160" t="str">
        <f>IF('[1]U-MP10'!E56="","",(--SUBSTITUTE(('[1]U-MP10'!E56),"&lt;","")))</f>
        <v/>
      </c>
      <c r="N59" s="160" t="str">
        <f>IF('[1]U-MP11'!E56="","",(--SUBSTITUTE(('[1]U-MP11'!E56),"&lt;","")))</f>
        <v/>
      </c>
      <c r="O59" s="160" t="str">
        <f>IF('[1]U-MP12'!E56="","",(--SUBSTITUTE(('[1]U-MP12'!E56),"&lt;","")))</f>
        <v/>
      </c>
      <c r="P59" s="160" t="str">
        <f>IF('[1]U-MP13'!E56="","",(--SUBSTITUTE(('[1]U-MP13'!E56),"&lt;","")))</f>
        <v/>
      </c>
      <c r="Q59" s="160" t="str">
        <f>IF('[1]U-MP14'!E56="","",(--SUBSTITUTE(('[1]U-MP14'!E56),"&lt;","")))</f>
        <v/>
      </c>
      <c r="R59" s="161" t="str">
        <f>IF('[1]U-MP15'!E56="","",(--SUBSTITUTE(('[1]U-MP15'!E56),"&lt;","")))</f>
        <v/>
      </c>
      <c r="S59" s="156" t="str">
        <f t="shared" si="19"/>
        <v>-</v>
      </c>
      <c r="T59" s="103" t="str">
        <f t="shared" si="20"/>
        <v/>
      </c>
      <c r="U59" s="82" t="str">
        <f t="shared" si="21"/>
        <v/>
      </c>
      <c r="V59" s="83" t="str">
        <f t="shared" si="22"/>
        <v/>
      </c>
      <c r="W59" s="84" t="str">
        <f t="shared" si="23"/>
        <v/>
      </c>
      <c r="X59" s="84" t="str">
        <f t="shared" si="24"/>
        <v>-</v>
      </c>
      <c r="Y59" s="163" t="str">
        <f>IF(OR($C$3=""),"",IF($C$3="Z0* IIIA",1,IF($C$3="Z0*",1,IF($C$3="Z1.1",3,IF($C$3="Z1.2",3,IF($C$3="Z2",10,IF($C$3="DK-0,5","manuell",IF($C$3="DK I","",IF($C$3="DK II","",IF($C$3="DK III","",IF($C$3="Reku Spalte 9","","")))))))))))</f>
        <v/>
      </c>
      <c r="Z59" s="87" t="str">
        <f>IF(OR(D59="",W59="n.z.",X59="NEIN",Y59="manuell"),"-",IF(Y59="",MAX(D59:R59),IF(ROUND(MAX(D59:R59),0)&gt;Y59,"Überschreitung",IF(V59="---","Messwerte = 0",IF(MAX(D59:R59)&lt;=(0.5*Y59),0.5*Y59,IF(MAX(D59:R59)&lt;=Y59,ROUND(MAX(D59:R59),0),Y59))))))</f>
        <v>-</v>
      </c>
      <c r="AA59" s="87" t="str">
        <f t="shared" si="26"/>
        <v>-</v>
      </c>
      <c r="AB59" s="157" t="str">
        <f t="shared" si="30"/>
        <v/>
      </c>
      <c r="AC59" s="90" t="str">
        <f>IF(AND(AB59="JA",S59&lt;10),ROUND(LARGE(D59:R59,2),0),IF(AND(AB59="JA",S59&gt;9,S59&lt;15),ROUND(LARGE(D59:R59,3),0),IF(AND(AB59="JA",S59=15),ROUND(LARGE(D59:R59,4),0),"-")))</f>
        <v>-</v>
      </c>
      <c r="AD59" s="90" t="str">
        <f t="shared" si="28"/>
        <v/>
      </c>
      <c r="AE59" s="96" t="str">
        <f t="shared" si="29"/>
        <v>-</v>
      </c>
    </row>
    <row r="60" spans="1:31" ht="12.75" customHeight="1" x14ac:dyDescent="0.25">
      <c r="A60" s="164" t="s">
        <v>156</v>
      </c>
      <c r="B60" s="165" t="s">
        <v>157</v>
      </c>
      <c r="C60" s="166" t="s">
        <v>55</v>
      </c>
      <c r="D60" s="167" t="str">
        <f>IF('[1]U-MP1'!E57="","",(--SUBSTITUTE(('[1]U-MP1'!E57),"&lt;","")))</f>
        <v/>
      </c>
      <c r="E60" s="168" t="str">
        <f>IF('[1]U-MP2'!E57="","",(--SUBSTITUTE(('[1]U-MP2'!E57),"&lt;","")))</f>
        <v/>
      </c>
      <c r="F60" s="168" t="str">
        <f>IF('[1]U-MP3'!E57="","",(--SUBSTITUTE(('[1]U-MP3'!E57),"&lt;","")))</f>
        <v/>
      </c>
      <c r="G60" s="168" t="str">
        <f>IF('[1]U-MP4'!E57="","",(--SUBSTITUTE(('[1]U-MP4'!E57),"&lt;","")))</f>
        <v/>
      </c>
      <c r="H60" s="168" t="str">
        <f>IF('[1]U-MP5'!E57="","",(--SUBSTITUTE(('[1]U-MP5'!E57),"&lt;","")))</f>
        <v/>
      </c>
      <c r="I60" s="168" t="str">
        <f>IF('[1]U-MP6'!E57="","",(--SUBSTITUTE(('[1]U-MP6'!E57),"&lt;","")))</f>
        <v/>
      </c>
      <c r="J60" s="168" t="str">
        <f>IF('[1]U-MP7'!E58="","",(--SUBSTITUTE(('[1]U-MP7'!E58),"&lt;","")))</f>
        <v/>
      </c>
      <c r="K60" s="168" t="str">
        <f>IF('[1]U-MP8'!E58="","",(--SUBSTITUTE(('[1]U-MP8'!E58),"&lt;","")))</f>
        <v/>
      </c>
      <c r="L60" s="168" t="str">
        <f>IF('[1]U-MP9'!E58="","",(--SUBSTITUTE(('[1]U-MP9'!E58),"&lt;","")))</f>
        <v/>
      </c>
      <c r="M60" s="168" t="str">
        <f>IF('[1]U-MP10'!E58="","",(--SUBSTITUTE(('[1]U-MP10'!E58),"&lt;","")))</f>
        <v/>
      </c>
      <c r="N60" s="168" t="str">
        <f>IF('[1]U-MP11'!E58="","",(--SUBSTITUTE(('[1]U-MP11'!E58),"&lt;","")))</f>
        <v/>
      </c>
      <c r="O60" s="168" t="str">
        <f>IF('[1]U-MP12'!E58="","",(--SUBSTITUTE(('[1]U-MP12'!E58),"&lt;","")))</f>
        <v/>
      </c>
      <c r="P60" s="168" t="str">
        <f>IF('[1]U-MP13'!E58="","",(--SUBSTITUTE(('[1]U-MP13'!E58),"&lt;","")))</f>
        <v/>
      </c>
      <c r="Q60" s="168" t="str">
        <f>IF('[1]U-MP14'!E58="","",(--SUBSTITUTE(('[1]U-MP14'!E58),"&lt;","")))</f>
        <v/>
      </c>
      <c r="R60" s="169" t="str">
        <f>IF('[1]U-MP15'!E58="","",(--SUBSTITUTE(('[1]U-MP15'!E58),"&lt;","")))</f>
        <v/>
      </c>
      <c r="S60" s="170" t="str">
        <f t="shared" si="19"/>
        <v>-</v>
      </c>
      <c r="T60" s="171" t="str">
        <f t="shared" si="20"/>
        <v/>
      </c>
      <c r="U60" s="172" t="str">
        <f t="shared" si="21"/>
        <v/>
      </c>
      <c r="V60" s="173" t="str">
        <f t="shared" si="22"/>
        <v/>
      </c>
      <c r="W60" s="174" t="str">
        <f t="shared" si="23"/>
        <v/>
      </c>
      <c r="X60" s="174" t="str">
        <f t="shared" si="24"/>
        <v>-</v>
      </c>
      <c r="Y60" s="175" t="str">
        <f>IF(OR($C$3=""),"",IF($C$3="Z0* IIIA",0.05,IF($C$3="Z0*",0.1,IF($C$3="Z1.1",0.15,IF($C$3="Z1.2",0.15,IF($C$3="Z2",0.5,IF($C$3="DK-0,5","manuell",IF($C$3="DK I","",IF($C$3="DK II","",IF($C$3="DK III","",IF($C$3="Reku Spalte 9","","")))))))))))</f>
        <v/>
      </c>
      <c r="Z60" s="176" t="str">
        <f>IF(OR(D60="",W60="n.z.",X60="NEIN",Y60="manuell"),"-",IF(Y60="",MAX(D60:R60),IF(ROUND(MAX(D60:R60),2)&gt;Y60,"Überschreitung",IF(V60="---","Messwerte = 0",IF(MAX(D60:R60)&lt;=(0.5*Y60),0.5*Y60,IF(MAX(D60:R60)&lt;=Y60,ROUND(MAX(D60:R60),2),Y60))))))</f>
        <v>-</v>
      </c>
      <c r="AA60" s="177" t="str">
        <f t="shared" si="26"/>
        <v>-</v>
      </c>
      <c r="AB60" s="178" t="str">
        <f t="shared" si="30"/>
        <v/>
      </c>
      <c r="AC60" s="179" t="str">
        <f>IF(AND(AB60="JA",S60&lt;10),ROUND(LARGE(D60:R60,2),2),IF(AND(AB60="JA",S60&gt;9,S60&lt;15),ROUND(LARGE(D60:R60,3),2),IF(AND(AB60="JA",S60=15),ROUND(LARGE(D60:R60,4),2),"-")))</f>
        <v>-</v>
      </c>
      <c r="AD60" s="180" t="str">
        <f t="shared" si="28"/>
        <v/>
      </c>
      <c r="AE60" s="181" t="str">
        <f t="shared" si="29"/>
        <v>-</v>
      </c>
    </row>
    <row r="61" spans="1:31" ht="12.75" customHeight="1" thickBot="1" x14ac:dyDescent="0.25">
      <c r="A61" s="106" t="s">
        <v>158</v>
      </c>
      <c r="B61" s="182" t="s">
        <v>153</v>
      </c>
      <c r="C61" s="183" t="s">
        <v>91</v>
      </c>
      <c r="D61" s="184" t="str">
        <f>IF('[1]U-MP1'!E58="","",(--SUBSTITUTE(('[1]U-MP1'!E58),"&lt;","")))</f>
        <v/>
      </c>
      <c r="E61" s="185" t="str">
        <f>IF('[1]U-MP2'!E58="","",(--SUBSTITUTE(('[1]U-MP2'!E58),"&lt;","")))</f>
        <v/>
      </c>
      <c r="F61" s="185" t="str">
        <f>IF('[1]U-MP3'!E58="","",(--SUBSTITUTE(('[1]U-MP3'!E58),"&lt;","")))</f>
        <v/>
      </c>
      <c r="G61" s="185" t="str">
        <f>IF('[1]U-MP4'!E58="","",(--SUBSTITUTE(('[1]U-MP4'!E58),"&lt;","")))</f>
        <v/>
      </c>
      <c r="H61" s="185" t="str">
        <f>IF('[1]U-MP5'!E58="","",(--SUBSTITUTE(('[1]U-MP5'!E58),"&lt;","")))</f>
        <v/>
      </c>
      <c r="I61" s="185" t="str">
        <f>IF('[1]U-MP6'!E58="","",(--SUBSTITUTE(('[1]U-MP6'!E58),"&lt;","")))</f>
        <v/>
      </c>
      <c r="J61" s="185" t="str">
        <f>IF('[1]U-MP7'!E58="","",(--SUBSTITUTE(('[1]U-MP7'!E58),"&lt;","")))</f>
        <v/>
      </c>
      <c r="K61" s="185" t="str">
        <f>IF('[1]U-MP8'!E58="","",(--SUBSTITUTE(('[1]U-MP8'!E58),"&lt;","")))</f>
        <v/>
      </c>
      <c r="L61" s="185" t="str">
        <f>IF('[1]U-MP9'!E58="","",(--SUBSTITUTE(('[1]U-MP9'!E58),"&lt;","")))</f>
        <v/>
      </c>
      <c r="M61" s="185" t="str">
        <f>IF('[1]U-MP10'!E58="","",(--SUBSTITUTE(('[1]U-MP10'!E58),"&lt;","")))</f>
        <v/>
      </c>
      <c r="N61" s="185" t="str">
        <f>IF('[1]U-MP11'!E58="","",(--SUBSTITUTE(('[1]U-MP11'!E58),"&lt;","")))</f>
        <v/>
      </c>
      <c r="O61" s="185" t="str">
        <f>IF('[1]U-MP12'!E58="","",(--SUBSTITUTE(('[1]U-MP12'!E58),"&lt;","")))</f>
        <v/>
      </c>
      <c r="P61" s="185" t="str">
        <f>IF('[1]U-MP13'!E58="","",(--SUBSTITUTE(('[1]U-MP13'!E58),"&lt;","")))</f>
        <v/>
      </c>
      <c r="Q61" s="185" t="str">
        <f>IF('[1]U-MP14'!E58="","",(--SUBSTITUTE(('[1]U-MP14'!E58),"&lt;","")))</f>
        <v/>
      </c>
      <c r="R61" s="186" t="str">
        <f>IF('[1]U-MP15'!E58="","",(--SUBSTITUTE(('[1]U-MP15'!E58),"&lt;","")))</f>
        <v/>
      </c>
      <c r="S61" s="187" t="str">
        <f>IF(COUNTBLANK(D61:R61)&lt;15,COUNT(D61:R61),"-")</f>
        <v>-</v>
      </c>
      <c r="T61" s="188" t="str">
        <f>IF(COUNTBLANK(D61:R61)&gt;14,"",IF(SUM(D61:R61)=0,"---",AVERAGE(D61:R61)))</f>
        <v/>
      </c>
      <c r="U61" s="49" t="str">
        <f>IF(COUNTBLANK(D61:R61)&gt;14,"",IF(COUNT(D61:R61)&lt;2,"---",STDEV(D61:R61)))</f>
        <v/>
      </c>
      <c r="V61" s="50" t="str">
        <f>IF(COUNTBLANK(D61:R61)&gt;14,"",IF(COUNTBLANK(D61:R61)=14,"ein Messwert",IF(ISTEXT(Y61),"kein ZW",IF(SUM(D61:R61)=0,"---",IF(MAX(D61:R61)&lt;(0.5*Y61),"&lt; 50% ZW",IF(MAX(D61:R61)&gt;2*MIN(D61:R61),"inhomogen","homogen"))))))</f>
        <v/>
      </c>
      <c r="W61" s="51" t="str">
        <f t="shared" si="23"/>
        <v/>
      </c>
      <c r="X61" s="51" t="str">
        <f t="shared" si="24"/>
        <v>-</v>
      </c>
      <c r="Y61" s="189" t="str">
        <f>IF(OR($C$3=""),"",IF($C$3="Z0* IIIA",0.005,IF($C$3="Z0*",0.005,IF($C$3="Z1.1",0.005,IF($C$3="Z1.2",0.01,IF($C$3="Z2",0.02,IF($C$3="DK-0,5","manuell",IF($C$3="DK I","",IF($C$3="DK II","",IF($C$3="DK III","",IF($C$3="Reku Spalte 9","","")))))))))))</f>
        <v/>
      </c>
      <c r="Z61" s="190" t="str">
        <f>IF(OR(D61="",W61="n.z.",X61="NEIN",Y61="manuell"),"-",IF(Y61="",MAX(D61:R61),IF(ROUND(MAX(D61:R61),0)&gt;Y61,"Überschreitung",IF(V61="---","Messwerte = 0",IF(MAX(D61:R61)&lt;=(0.5*Y61),0.5*Y61,IF(MAX(D61:R61)&lt;=Y61,ROUND(MAX(D61:R61),0),Y61))))))</f>
        <v>-</v>
      </c>
      <c r="AA61" s="53" t="str">
        <f t="shared" si="26"/>
        <v>-</v>
      </c>
      <c r="AB61" s="146" t="str">
        <f t="shared" si="30"/>
        <v/>
      </c>
      <c r="AC61" s="191" t="str">
        <f>IF(AND(AB61="JA",S61&lt;10),ROUND(LARGE(D61:R61,2),3),IF(AND(AB61="JA",S61&gt;9,S61&lt;15),ROUND(LARGE(D61:R61,3),3),IF(AND(AB61="JA",S61=15),ROUND(LARGE(D61:R61,4),3),"-")))</f>
        <v>-</v>
      </c>
      <c r="AD61" s="55" t="str">
        <f t="shared" si="28"/>
        <v/>
      </c>
      <c r="AE61" s="192" t="str">
        <f>IF(AD61="JA",ROUND((AVERAGE(D61:R61))+1.65*STDEV(D61:R61)/(SQRT(COUNT(D61:R61))),0),"-")</f>
        <v>-</v>
      </c>
    </row>
    <row r="62" spans="1:31" ht="36.6" customHeight="1" x14ac:dyDescent="0.2">
      <c r="A62" s="193" t="s">
        <v>67</v>
      </c>
      <c r="B62" s="193" t="s">
        <v>159</v>
      </c>
      <c r="F62" s="194"/>
      <c r="G62" s="194"/>
      <c r="H62" s="194"/>
      <c r="I62" s="194"/>
      <c r="Y62" s="120"/>
      <c r="Z62" s="195"/>
      <c r="AA62" s="195"/>
      <c r="AB62" s="195"/>
      <c r="AC62" s="195"/>
      <c r="AD62" s="195"/>
      <c r="AE62" s="195"/>
    </row>
    <row r="63" spans="1:31" ht="13.5" customHeight="1" x14ac:dyDescent="0.2">
      <c r="A63" s="196" t="s">
        <v>160</v>
      </c>
      <c r="B63" s="193" t="s">
        <v>161</v>
      </c>
      <c r="F63" s="197"/>
      <c r="G63" s="197"/>
      <c r="H63" s="197"/>
      <c r="I63" s="197"/>
      <c r="Y63" s="197"/>
      <c r="Z63" s="198" t="s">
        <v>162</v>
      </c>
      <c r="AA63" s="197"/>
      <c r="AB63" s="197"/>
      <c r="AC63" s="197"/>
      <c r="AD63" s="197"/>
      <c r="AE63" s="197"/>
    </row>
    <row r="64" spans="1:31" x14ac:dyDescent="0.2">
      <c r="Y64" s="120"/>
      <c r="Z64" s="120"/>
      <c r="AA64" s="199"/>
    </row>
    <row r="65" spans="27:27" x14ac:dyDescent="0.2">
      <c r="AA65" s="199"/>
    </row>
    <row r="66" spans="27:27" x14ac:dyDescent="0.2">
      <c r="AA66" s="199"/>
    </row>
    <row r="67" spans="27:27" x14ac:dyDescent="0.2">
      <c r="AA67" s="199"/>
    </row>
    <row r="68" spans="27:27" x14ac:dyDescent="0.2">
      <c r="AA68" s="120"/>
    </row>
  </sheetData>
  <mergeCells count="38">
    <mergeCell ref="V4:V6"/>
    <mergeCell ref="AB4:AB6"/>
    <mergeCell ref="AC4:AC6"/>
    <mergeCell ref="AD4:AD6"/>
    <mergeCell ref="AE4:AE6"/>
    <mergeCell ref="Z3:Z6"/>
    <mergeCell ref="AA3:AA6"/>
    <mergeCell ref="AB3:AE3"/>
    <mergeCell ref="R4:R6"/>
    <mergeCell ref="S4:S6"/>
    <mergeCell ref="B4:C4"/>
    <mergeCell ref="D4:D6"/>
    <mergeCell ref="E4:E6"/>
    <mergeCell ref="F4:F6"/>
    <mergeCell ref="G4:G6"/>
    <mergeCell ref="H4:H6"/>
    <mergeCell ref="I4:I6"/>
    <mergeCell ref="C1:E1"/>
    <mergeCell ref="Z1:AE1"/>
    <mergeCell ref="Z2:AA2"/>
    <mergeCell ref="AB2:AC2"/>
    <mergeCell ref="AD2:AE2"/>
    <mergeCell ref="A3:B3"/>
    <mergeCell ref="T3:V3"/>
    <mergeCell ref="W3:W6"/>
    <mergeCell ref="X3:X6"/>
    <mergeCell ref="Y3:Y5"/>
    <mergeCell ref="T4:T6"/>
    <mergeCell ref="U4:U6"/>
    <mergeCell ref="J4:J6"/>
    <mergeCell ref="K4:K6"/>
    <mergeCell ref="L4:L6"/>
    <mergeCell ref="M4:M6"/>
    <mergeCell ref="N4:N6"/>
    <mergeCell ref="O4:O6"/>
    <mergeCell ref="C5:C6"/>
    <mergeCell ref="P4:P6"/>
    <mergeCell ref="Q4:Q6"/>
  </mergeCells>
  <dataValidations count="2">
    <dataValidation type="list" allowBlank="1" showInputMessage="1" showErrorMessage="1" promptTitle="Auswahl Einsatzbereich" prompt="Bitte vorgesehene Deponieklasse [DK] _x000a_oder Verwertungs-/ Verwendungsbereich_x000a_auswählen" sqref="C3">
      <mc:AlternateContent xmlns:x12ac="http://schemas.microsoft.com/office/spreadsheetml/2011/1/ac" xmlns:mc="http://schemas.openxmlformats.org/markup-compatibility/2006">
        <mc:Choice Requires="x12ac">
          <x12ac:list>"DK-0,5",DK 0,DK I,DK II, DK III, --,Z0* IIIA,Z0*,Z1.1,Z1.2,Z2,Reku Spalte 9</x12ac:list>
        </mc:Choice>
        <mc:Fallback>
          <formula1>"DK-0,5,DK 0,DK I,DK II, DK III, --,Z0* IIIA,Z0*,Z1.1,Z1.2,Z2,Reku Spalte 9"</formula1>
        </mc:Fallback>
      </mc:AlternateContent>
    </dataValidation>
    <dataValidation type="list" allowBlank="1" showInputMessage="1" showErrorMessage="1" sqref="O2">
      <formula1>"Ja, Nein"</formula1>
    </dataValidation>
  </dataValidations>
  <pageMargins left="0.78740157480314965" right="0.19685039370078741" top="1.1417322834645669" bottom="0.31496062992125984" header="0.70866141732283472" footer="0.19685039370078741"/>
  <pageSetup paperSize="8" scale="79" orientation="landscape" r:id="rId1"/>
  <headerFooter alignWithMargins="0">
    <oddHeader>&amp;R&amp;"Arial,Kursiv"&amp;11&amp;UStand:&amp;U 25.03.2021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Tab. Prüfung ZOW   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Markert, Klaus</dc:creator>
  <cp:lastModifiedBy>Markert, Klaus</cp:lastModifiedBy>
  <dcterms:created xsi:type="dcterms:W3CDTF">2022-12-14T14:02:23Z</dcterms:created>
  <dcterms:modified xsi:type="dcterms:W3CDTF">2022-12-14T14:11:04Z</dcterms:modified>
</cp:coreProperties>
</file>